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All A - ESITO 2010 comp reg" sheetId="1" r:id="rId1"/>
    <sheet name="ALL B - ESITO 2010 comp ASL" sheetId="2" r:id="rId2"/>
    <sheet name="All C - comp e acc.to" sheetId="3" r:id="rId3"/>
  </sheets>
  <definedNames>
    <definedName name="_xlnm.Print_Area" localSheetId="0">'All A - ESITO 2010 comp reg'!$A$1:$W$100</definedName>
    <definedName name="_xlnm.Print_Area" localSheetId="1">'ALL B - ESITO 2010 comp ASL'!$A$1:$Y$100</definedName>
    <definedName name="_xlnm.Print_Area" localSheetId="2">'All C - comp e acc.to'!$A$1:$K$100</definedName>
    <definedName name="Excel_BuiltIn_Print_Titles_1" localSheetId="1">'ALL B - ESITO 2010 comp ASL'!$B$1:$B$65451,'ALL B - ESITO 2010 comp ASL'!$2:$2</definedName>
    <definedName name="Excel_BuiltIn_Print_Titles_1" localSheetId="2">'All C - comp e acc.to'!$B$1:$B$65451,'All C - comp e acc.to'!$2:$2</definedName>
    <definedName name="Excel_BuiltIn_Print_Titles_1">'All A - ESITO 2010 comp reg'!$B$1:$B$65451,'All A - ESITO 2010 comp reg'!$2:$2</definedName>
    <definedName name="Excel_BuiltIn_Print_Titles_1_1" localSheetId="1">'ALL B - ESITO 2010 comp ASL'!$B$2:$B$65379,'ALL B - ESITO 2010 comp ASL'!$2:$2</definedName>
    <definedName name="Excel_BuiltIn_Print_Titles_1_1" localSheetId="2">'All C - comp e acc.to'!$B$2:$B$65379,'All C - comp e acc.to'!$2:$2</definedName>
    <definedName name="Excel_BuiltIn_Print_Titles_1_1">'All A - ESITO 2010 comp reg'!$B$2:$B$65379,'All A - ESITO 2010 comp reg'!$2:$2</definedName>
    <definedName name="Excel_BuiltIn_Print_Titles_1_1_1" localSheetId="1">('ALL B - ESITO 2010 comp ASL'!$B$2:$B$65379,'ALL B - ESITO 2010 comp ASL'!$2:$2)</definedName>
    <definedName name="Excel_BuiltIn_Print_Titles_1_1_1" localSheetId="2">('All C - comp e acc.to'!$B$2:$B$65379,'All C - comp e acc.to'!$2:$2)</definedName>
    <definedName name="Excel_BuiltIn_Print_Titles_1_1_1">('All A - ESITO 2010 comp reg'!$B$2:$B$65379,'All A - ESITO 2010 comp reg'!$2:$2)</definedName>
    <definedName name="Excel_BuiltIn_Print_Titles_2">#REF!,#REF!</definedName>
    <definedName name="Excel_BuiltIn_Print_Titles_2_1">(#REF!,#REF!)</definedName>
    <definedName name="Excel_BuiltIn_Print_Titles_2_1_1" localSheetId="1">('ALL B - ESITO 2010 comp ASL'!$B$2:$B$65359,'ALL B - ESITO 2010 comp ASL'!$2:$2)</definedName>
    <definedName name="Excel_BuiltIn_Print_Titles_2_1_1" localSheetId="2">('All C - comp e acc.to'!$B$2:$B$65359,'All C - comp e acc.to'!$2:$2)</definedName>
    <definedName name="Excel_BuiltIn_Print_Titles_2_1_1">('All A - ESITO 2010 comp reg'!$B$2:$B$65359,'All A - ESITO 2010 comp reg'!$2:$2)</definedName>
    <definedName name="Excel_BuiltIn_Print_Titles_2_1_1_1" localSheetId="1">('ALL B - ESITO 2010 comp ASL'!$B$2:$B$65359,'ALL B - ESITO 2010 comp ASL'!$2:$2)</definedName>
    <definedName name="Excel_BuiltIn_Print_Titles_2_1_1_1" localSheetId="2">('All C - comp e acc.to'!$B$2:$B$65359,'All C - comp e acc.to'!$2:$2)</definedName>
    <definedName name="Excel_BuiltIn_Print_Titles_2_1_1_1">('All A - ESITO 2010 comp reg'!$B$2:$B$65359,'All A - ESITO 2010 comp reg'!$2:$2)</definedName>
    <definedName name="_xlnm.Print_Titles" localSheetId="0">'All A - ESITO 2010 comp reg'!$A:$B,'All A - ESITO 2010 comp reg'!$1:$2</definedName>
    <definedName name="_xlnm.Print_Titles" localSheetId="1">'ALL B - ESITO 2010 comp ASL'!$A:$B,'ALL B - ESITO 2010 comp ASL'!$1:$2</definedName>
    <definedName name="_xlnm.Print_Titles" localSheetId="2">'All C - comp e acc.to'!$A:$B,'All C - comp e acc.to'!$1:$2</definedName>
  </definedNames>
  <calcPr fullCalcOnLoad="1"/>
</workbook>
</file>

<file path=xl/comments1.xml><?xml version="1.0" encoding="utf-8"?>
<comments xmlns="http://schemas.openxmlformats.org/spreadsheetml/2006/main">
  <authors>
    <author>Zazzaro</author>
  </authors>
  <commentList>
    <comment ref="H40" authorId="0">
      <text>
        <r>
          <rPr>
            <sz val="8"/>
            <rFont val="Tahoma"/>
            <family val="2"/>
          </rPr>
          <t>E-Mail di Mengano del 16/9/2011</t>
        </r>
      </text>
    </comment>
    <comment ref="D43" authorId="0">
      <text>
        <r>
          <rPr>
            <sz val="8"/>
            <rFont val="Tahoma"/>
            <family val="2"/>
          </rPr>
          <t>comprende fatturato per 1.128.068,04 per degenti ex manicomiali: v. nota NA1 prot. 38343 del 28/7/11</t>
        </r>
      </text>
    </comment>
    <comment ref="I30" authorId="0">
      <text>
        <r>
          <rPr>
            <sz val="8"/>
            <rFont val="Tahoma"/>
            <family val="2"/>
          </rPr>
          <t>V. nota ASL CE del 23/6/11 prot. n. 19763</t>
        </r>
      </text>
    </comment>
    <comment ref="H68" authorId="0">
      <text>
        <r>
          <rPr>
            <sz val="8"/>
            <rFont val="Tahoma"/>
            <family val="2"/>
          </rPr>
          <t>l'abbattimento è contestato al TAR</t>
        </r>
      </text>
    </comment>
    <comment ref="E44" authorId="0">
      <text>
        <r>
          <rPr>
            <sz val="8"/>
            <rFont val="Tahoma"/>
            <family val="2"/>
          </rPr>
          <t>E-Mail ASL NA1 - Dr. Mengano del 4-10-2011</t>
        </r>
      </text>
    </comment>
    <comment ref="I44" authorId="0">
      <text>
        <r>
          <rPr>
            <sz val="8"/>
            <rFont val="Tahoma"/>
            <family val="2"/>
          </rPr>
          <t>E-Mail ASL NA1 - Dr. Mengano del 4-10-2011</t>
        </r>
      </text>
    </comment>
    <comment ref="F50" authorId="0">
      <text>
        <r>
          <rPr>
            <sz val="8"/>
            <rFont val="Tahoma"/>
            <family val="2"/>
          </rPr>
          <t>E-Mail ASL NA1 - Dr. Mengano del 4-10-2011</t>
        </r>
      </text>
    </comment>
    <comment ref="I50" authorId="0">
      <text>
        <r>
          <rPr>
            <sz val="8"/>
            <rFont val="Tahoma"/>
            <family val="2"/>
          </rPr>
          <t>E-Mail ASL NA1 - Dr. Mengano del 4-10-2011</t>
        </r>
      </text>
    </comment>
    <comment ref="I38" authorId="0">
      <text>
        <r>
          <rPr>
            <sz val="8"/>
            <rFont val="Tahoma"/>
            <family val="2"/>
          </rPr>
          <t>E-Mail ASL NA1 - UOC Analisi, Monitoraggio e Controlo Case di Cura private - Dr. Mengano del 29-9-2011</t>
        </r>
      </text>
    </comment>
    <comment ref="AD50" authorId="0">
      <text>
        <r>
          <rPr>
            <b/>
            <sz val="8"/>
            <rFont val="Tahoma"/>
            <family val="0"/>
          </rPr>
          <t>tagli contestati dalla casa di cura con lettera del 6/9/2011</t>
        </r>
      </text>
    </comment>
  </commentList>
</comments>
</file>

<file path=xl/comments2.xml><?xml version="1.0" encoding="utf-8"?>
<comments xmlns="http://schemas.openxmlformats.org/spreadsheetml/2006/main">
  <authors>
    <author>Zazzaro</author>
  </authors>
  <commentList>
    <comment ref="H40" authorId="0">
      <text>
        <r>
          <rPr>
            <sz val="8"/>
            <rFont val="Tahoma"/>
            <family val="2"/>
          </rPr>
          <t>E-Mail di Mengano del 16/9/2011</t>
        </r>
      </text>
    </comment>
    <comment ref="D43" authorId="0">
      <text>
        <r>
          <rPr>
            <sz val="8"/>
            <rFont val="Tahoma"/>
            <family val="2"/>
          </rPr>
          <t>comprende fatturato per 1.128.068,04 per degenti ex manicomiali: v. nota NA1 prot. 38343 del 28/7/11</t>
        </r>
      </text>
    </comment>
    <comment ref="I30" authorId="0">
      <text>
        <r>
          <rPr>
            <sz val="8"/>
            <rFont val="Tahoma"/>
            <family val="2"/>
          </rPr>
          <t>V. nota ASL CE del 23/6/11 prot. n. 19763</t>
        </r>
      </text>
    </comment>
    <comment ref="H68" authorId="0">
      <text>
        <r>
          <rPr>
            <sz val="8"/>
            <rFont val="Tahoma"/>
            <family val="2"/>
          </rPr>
          <t>l'abbattimento è contestato al TAR</t>
        </r>
      </text>
    </comment>
    <comment ref="E44" authorId="0">
      <text>
        <r>
          <rPr>
            <sz val="8"/>
            <rFont val="Tahoma"/>
            <family val="2"/>
          </rPr>
          <t>E-Mail ASL NA1 - Dr. Mengano del 4-10-2011</t>
        </r>
      </text>
    </comment>
    <comment ref="I44" authorId="0">
      <text>
        <r>
          <rPr>
            <sz val="8"/>
            <rFont val="Tahoma"/>
            <family val="2"/>
          </rPr>
          <t>E-Mail ASL NA1 - Dr. Mengano del 4-10-2011</t>
        </r>
      </text>
    </comment>
    <comment ref="F50" authorId="0">
      <text>
        <r>
          <rPr>
            <sz val="8"/>
            <rFont val="Tahoma"/>
            <family val="2"/>
          </rPr>
          <t>E-Mail ASL NA1 - Dr. Mengano del 4-10-2011</t>
        </r>
      </text>
    </comment>
    <comment ref="I50" authorId="0">
      <text>
        <r>
          <rPr>
            <sz val="8"/>
            <rFont val="Tahoma"/>
            <family val="2"/>
          </rPr>
          <t>E-Mail ASL NA1 - Dr. Mengano del 4-10-2011</t>
        </r>
      </text>
    </comment>
    <comment ref="I38" authorId="0">
      <text>
        <r>
          <rPr>
            <sz val="8"/>
            <rFont val="Tahoma"/>
            <family val="2"/>
          </rPr>
          <t>E-Mail ASL NA1 - UOC Analisi, Monitoraggio e Controlo Case di Cura private - Dr. Mengano del 29-9-2011</t>
        </r>
      </text>
    </comment>
    <comment ref="AG50" authorId="0">
      <text>
        <r>
          <rPr>
            <b/>
            <sz val="8"/>
            <rFont val="Tahoma"/>
            <family val="0"/>
          </rPr>
          <t>tagli contestati dalla casa di cura con lettera del 6/9/2011</t>
        </r>
      </text>
    </comment>
  </commentList>
</comments>
</file>

<file path=xl/sharedStrings.xml><?xml version="1.0" encoding="utf-8"?>
<sst xmlns="http://schemas.openxmlformats.org/spreadsheetml/2006/main" count="534" uniqueCount="170">
  <si>
    <t>Importi in EURO</t>
  </si>
  <si>
    <t>(A)</t>
  </si>
  <si>
    <t>(B)</t>
  </si>
  <si>
    <t>(D)</t>
  </si>
  <si>
    <t>(E)</t>
  </si>
  <si>
    <t>Codice NSIS</t>
  </si>
  <si>
    <t xml:space="preserve"> A.S.L. AVELLINO</t>
  </si>
  <si>
    <t>Casa di Cura Villa dei Pini S.p.A.</t>
  </si>
  <si>
    <t>Casa di Cura Villa Esther S.p.A.</t>
  </si>
  <si>
    <t>Casa di Cura Privata Malzoni-Villa dei Platani S.p.A.</t>
  </si>
  <si>
    <t>Casa di Cura Villa Maria s.r.l. Baiano</t>
  </si>
  <si>
    <t>Villa Julie s.r.l. Casa di Cura Villa Maria Mirabella</t>
  </si>
  <si>
    <t>Casa di Cura Privata Montevergine S.p.A.</t>
  </si>
  <si>
    <t>Casa di Cura S.Rita S.p.A.</t>
  </si>
  <si>
    <t>TOTALE</t>
  </si>
  <si>
    <t>A.S.L. BENEVENTO</t>
  </si>
  <si>
    <t>Casa di Cura GE.P.O.S. s.r.l.</t>
  </si>
  <si>
    <t>Casa di Cura Privata Villa Margherita s.r.l.</t>
  </si>
  <si>
    <t>Casa di cura San Francesco</t>
  </si>
  <si>
    <t>Casa di Cura Nuova Clinica S.Rita S.p.A.</t>
  </si>
  <si>
    <t>A.S.L. CASERTA</t>
  </si>
  <si>
    <t>GE.IS. s.r.l. Casa di Cura Villa degli Ulivi</t>
  </si>
  <si>
    <r>
      <t>Casa di Cura Villa</t>
    </r>
    <r>
      <rPr>
        <sz val="10"/>
        <rFont val="Arial"/>
        <family val="2"/>
      </rPr>
      <t xml:space="preserve"> Dei Pini Atena S.p.A.</t>
    </r>
  </si>
  <si>
    <r>
      <t>Casa di Cura Villa</t>
    </r>
    <r>
      <rPr>
        <sz val="10"/>
        <rFont val="Arial"/>
        <family val="2"/>
      </rPr>
      <t xml:space="preserve"> Delle Magnolie Rerif s.r.l.</t>
    </r>
  </si>
  <si>
    <r>
      <t>Casa di Cura Villa</t>
    </r>
    <r>
      <rPr>
        <sz val="10"/>
        <rFont val="Arial"/>
        <family val="2"/>
      </rPr>
      <t xml:space="preserve"> Del Sole S.p.A.</t>
    </r>
  </si>
  <si>
    <r>
      <t xml:space="preserve">Casa di Cura Villa </t>
    </r>
    <r>
      <rPr>
        <sz val="10"/>
        <rFont val="Arial"/>
        <family val="2"/>
      </rPr>
      <t>Fiorita - Aversa S.p.A.</t>
    </r>
  </si>
  <si>
    <t>Clinica Padre Pio s.r.l.</t>
  </si>
  <si>
    <t>Clinica Sant'Anna s.r.l.</t>
  </si>
  <si>
    <t xml:space="preserve">Minerva S.p.A. Casa di Cura S. Maria della Salute </t>
  </si>
  <si>
    <t>Clinica  San Michele s.r.l.</t>
  </si>
  <si>
    <t xml:space="preserve">Casa di Cura Alba Clinica S.Paolo </t>
  </si>
  <si>
    <t>A.S.L. NAPOLI 1 Centro</t>
  </si>
  <si>
    <r>
      <t>Casa di Cura Villa</t>
    </r>
    <r>
      <rPr>
        <sz val="10"/>
        <rFont val="Arial"/>
        <family val="2"/>
      </rPr>
      <t xml:space="preserve"> Angela</t>
    </r>
  </si>
  <si>
    <t>Stazione Climatica Bianchi</t>
  </si>
  <si>
    <t xml:space="preserve">Alma Mater S.p.A. Casa di Cura Villa Camaldoli </t>
  </si>
  <si>
    <t>Casa di Cura Clinic Center  S.p.A.</t>
  </si>
  <si>
    <r>
      <t>Casa di Cura Villa</t>
    </r>
    <r>
      <rPr>
        <sz val="10"/>
        <rFont val="Arial"/>
        <family val="2"/>
      </rPr>
      <t xml:space="preserve"> Cinzia</t>
    </r>
  </si>
  <si>
    <t>Casa di Cura Villa Delle Querce</t>
  </si>
  <si>
    <t>Casa di Cura Mediterranea S.p.A.</t>
  </si>
  <si>
    <t>Casa di Cura Ospedale Internazionale</t>
  </si>
  <si>
    <t>Clinica Sanatrix S.p.A.</t>
  </si>
  <si>
    <t>Clinica Santa Patrizia</t>
  </si>
  <si>
    <t>Casa di Cura Santo Stefano S.p.A.</t>
  </si>
  <si>
    <t>Casa di Cura Villa Bianca S.p.A. (ex Tasso)</t>
  </si>
  <si>
    <t>Clinica Vesuvio s.r.l.</t>
  </si>
  <si>
    <t>A.S.L. NAPOLI 2 Nord</t>
  </si>
  <si>
    <r>
      <t>Casa di Cura Villa</t>
    </r>
    <r>
      <rPr>
        <sz val="10"/>
        <rFont val="Arial"/>
        <family val="2"/>
      </rPr>
      <t xml:space="preserve"> Dei Fiori s.r.l. Mugnano</t>
    </r>
  </si>
  <si>
    <r>
      <t>Casa di Cura Villa</t>
    </r>
    <r>
      <rPr>
        <sz val="10"/>
        <rFont val="Arial"/>
        <family val="2"/>
      </rPr>
      <t xml:space="preserve"> Majone s.r.l.</t>
    </r>
  </si>
  <si>
    <t xml:space="preserve">Casa di Cura S.Antimo </t>
  </si>
  <si>
    <t>A.S.L. NAPOLI 3 Sud</t>
  </si>
  <si>
    <t xml:space="preserve">Casa di Cura Villa Delle Margherite s.n.c. </t>
  </si>
  <si>
    <t>Casa di Cura Villa Elisa S.p.A.</t>
  </si>
  <si>
    <t>Casa di Cura Andrea Grimaldi s.r.l.</t>
  </si>
  <si>
    <t>Casa di Cura La Madonnina s.r.l.</t>
  </si>
  <si>
    <t>Casa di Cura Maria Rosaria S.p.A.</t>
  </si>
  <si>
    <t>Casa di Cura Meluccio s.r.l.</t>
  </si>
  <si>
    <t>Casa di Cura Nostra Signora di Lourdes S.p.A.</t>
  </si>
  <si>
    <t>Casa di Cura Villa Stabia S.p.A.</t>
  </si>
  <si>
    <t>Casa di Cura S.Maria Del Pozzo C.E.M. S.p.A.</t>
  </si>
  <si>
    <t>Casa di Cura S. Maria La Bruna s.r.l.</t>
  </si>
  <si>
    <t>Casa di Cura Clinica S.Felice s.r.l.</t>
  </si>
  <si>
    <t xml:space="preserve">Casa di Cura Santa Lucia s.r.l. </t>
  </si>
  <si>
    <t>Casa di Cura Trusso s.r.l.</t>
  </si>
  <si>
    <t xml:space="preserve"> A.S.L. SALERNO</t>
  </si>
  <si>
    <t>Campolongo Hospital S.p.A. C.E.M.F.R. Eboli</t>
  </si>
  <si>
    <t>Casa di Cura Villa Chiarugi s.r.l.</t>
  </si>
  <si>
    <t xml:space="preserve">Clinica Cobellis </t>
  </si>
  <si>
    <r>
      <t>Casa di Cura Villa</t>
    </r>
    <r>
      <rPr>
        <sz val="10"/>
        <rFont val="Arial"/>
        <family val="2"/>
      </rPr>
      <t xml:space="preserve"> DEL SOLE</t>
    </r>
  </si>
  <si>
    <t>Casa di Cura La Quiete s.r.l.</t>
  </si>
  <si>
    <t>Casa di Cura  Malzoni di Agropoli S.p.A.</t>
  </si>
  <si>
    <t>Casa di Cura Salus Battipaglia</t>
  </si>
  <si>
    <t>Casa di Cura  Tortorella</t>
  </si>
  <si>
    <t>Villa SILBA (da verificare)</t>
  </si>
  <si>
    <t xml:space="preserve">TOTALE per ASL </t>
  </si>
  <si>
    <t>AVELLINO</t>
  </si>
  <si>
    <t xml:space="preserve">BENEVENTO </t>
  </si>
  <si>
    <t xml:space="preserve">CASERTA </t>
  </si>
  <si>
    <t>NAPOLI 1 CENTRO</t>
  </si>
  <si>
    <t>NAPOLI 2 NORD</t>
  </si>
  <si>
    <t>NAPOLI 3 SUD</t>
  </si>
  <si>
    <t>SALERNO</t>
  </si>
  <si>
    <t>TOTALE GENERALE</t>
  </si>
  <si>
    <r>
      <t>Casa di Cura Villa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Fiorita S.p.A. (</t>
    </r>
    <r>
      <rPr>
        <sz val="10"/>
        <rFont val="Arial"/>
        <family val="2"/>
      </rPr>
      <t>Capua)</t>
    </r>
  </si>
  <si>
    <t>Casa di Cura  Pineta Grande S.p.A.</t>
  </si>
  <si>
    <t>Casa di Cura Privata Villa Dei Fiori s.r.l. Acerra</t>
  </si>
  <si>
    <t>Clinica VILLALBA</t>
  </si>
  <si>
    <t>Casa di Cura Villa Ortensia CALES s.r.l.</t>
  </si>
  <si>
    <t>Casa di Cura Villa Russo</t>
  </si>
  <si>
    <t>Casa di Cura Venosa s.r.l.</t>
  </si>
  <si>
    <t>TETTO 2010 (decreto n. 65 del 22/10/2011)</t>
  </si>
  <si>
    <t>C.M.R. S.p.A. Centro Medico Diagnostico e Riabilitaz.</t>
  </si>
  <si>
    <t>(C)</t>
  </si>
  <si>
    <t>Contestazioni sulle tariffe</t>
  </si>
  <si>
    <t>Abbattimenti per superamento soglie</t>
  </si>
  <si>
    <t>Altre contestazioni per controlli ecc.</t>
  </si>
  <si>
    <t>Fatturato riconoscibile</t>
  </si>
  <si>
    <t>Fatturato 2010</t>
  </si>
  <si>
    <t>tetto non utilizzato, disponibile per compensazione regionale</t>
  </si>
  <si>
    <t>Fatturato riconoscibile ma eccedente il tetto di spesa</t>
  </si>
  <si>
    <t>Regressione tariffaria dopo compensazione regionale</t>
  </si>
  <si>
    <t>Note Credito da emettere vs. la ASL competente (per regressione tariffaria)</t>
  </si>
  <si>
    <t>Assistenza Ospedaliera erogata dalle Case di Cura private nel 2010</t>
  </si>
  <si>
    <t>NOTE</t>
  </si>
  <si>
    <t>da C a B</t>
  </si>
  <si>
    <t>Casa di Cura Hermitage Capodimonte S.p.A. Colucci</t>
  </si>
  <si>
    <t>da B a A</t>
  </si>
  <si>
    <t>da C a A</t>
  </si>
  <si>
    <t>Abbattimento dei conguagli di col. (B) in proporzione alle riduzioni di col. (D) ed (E)</t>
  </si>
  <si>
    <t>(F)</t>
  </si>
  <si>
    <t>(G=A+B-C-D-E-F)</t>
  </si>
  <si>
    <t>(H)</t>
  </si>
  <si>
    <t>(N)</t>
  </si>
  <si>
    <t>(M = L)</t>
  </si>
  <si>
    <t>ctrl</t>
  </si>
  <si>
    <t>Conguagli per passaggi di fascia: decreto n° 62 del 22/8/2011</t>
  </si>
  <si>
    <t xml:space="preserve"> Ricalcolo inviato dalla UOC della ASL il 4-10-2011</t>
  </si>
  <si>
    <t xml:space="preserve"> Ricalcolo inviato dalla UOC della ASL il 29-9-2011</t>
  </si>
  <si>
    <t xml:space="preserve"> Ricalcolo inviato dalla UOC della ASL il 25-10-2011</t>
  </si>
  <si>
    <t xml:space="preserve"> Ricalcolo inviato dalla UOC della ASL il 16-9-2011</t>
  </si>
  <si>
    <t xml:space="preserve"> Per il 2010 ha fatturato altri € 908.645,01 alla Regione</t>
  </si>
  <si>
    <t>Nelle colonne A e B è compresa la "Prima Assistenza"</t>
  </si>
  <si>
    <t>La CdC contesta l'importo di col. D (Nota ASL 5.10.11)</t>
  </si>
  <si>
    <t>La CdC contesta € 135.634,64 col. C_D (ASL 5.10.11)</t>
  </si>
  <si>
    <t>La CdC contesta l'importo di col. E (Nota ASL 3.10.11)</t>
  </si>
  <si>
    <t>La CdC contesta l'importo di col. D (Nota ASL 3.10.11)</t>
  </si>
  <si>
    <t>La CdC contesta l'importo di col. D (Nota ASL 1.10.11)</t>
  </si>
  <si>
    <t>La CdC contesta col. D-E-F (Nota ASL 1.10.11)</t>
  </si>
  <si>
    <t>La CdC contesta € 200.819,13 di col. D (ASL 1.10.11)</t>
  </si>
  <si>
    <t>La CdC contesta € 431.667,81 di col. D (ASL 1.10.11)</t>
  </si>
  <si>
    <t>La CdC è ricorsa a vie legali per l'intero extra tetto</t>
  </si>
  <si>
    <t>La CdC il 19.10.11 sollecita il pagamento dell'extra tetto</t>
  </si>
  <si>
    <t xml:space="preserve"> La CdC contesta tagli per € 579.283,72= (nota 6/9/11)</t>
  </si>
  <si>
    <t>WARNING</t>
  </si>
  <si>
    <t>contestazione</t>
  </si>
  <si>
    <t>tetto non utilizzato, da accantonare per contestazioni in corso</t>
  </si>
  <si>
    <t>maggiore fatturato extra tetto dovuto secondo la casa di cura</t>
  </si>
  <si>
    <t>I.2</t>
  </si>
  <si>
    <t>I.3</t>
  </si>
  <si>
    <t>I.4</t>
  </si>
  <si>
    <t>J.2</t>
  </si>
  <si>
    <t>IDEM, se si considera anche l'extra tetto di col. I.2</t>
  </si>
  <si>
    <t>J.3</t>
  </si>
  <si>
    <t>Ripartizione del tetto non utilizzato senza tenere conto della col. I.2</t>
  </si>
  <si>
    <t>Compensazione Regionale Provvisoria: MIN tra col K e J2</t>
  </si>
  <si>
    <t>I .1 = G - H se &gt; 0</t>
  </si>
  <si>
    <t>(L = I .1 - J.3)</t>
  </si>
  <si>
    <t>J.1 = H - G - I.3 se &gt; 0</t>
  </si>
  <si>
    <t>(K = tot J.1 / tot I.1 x I.1)</t>
  </si>
  <si>
    <t>J.1 = H - G - I.3 - I.4 se &gt; 0</t>
  </si>
  <si>
    <t>Prima compensazione a livello di ASL (richiesta AIOP 14/11/11, prot. 2106)</t>
  </si>
  <si>
    <t>tetto non utilizzato a livello di ASL, disponibile per compensazione regionale</t>
  </si>
  <si>
    <t>% vs extra tetto</t>
  </si>
  <si>
    <t>Passaggio di fascia: decreto n. 62/2011</t>
  </si>
  <si>
    <t>Fatturato riconoscibile in base ai controlli delle ASL</t>
  </si>
  <si>
    <t>intermedio x J.2</t>
  </si>
  <si>
    <t>extra tetto MAX (con I.2) - comp certa (I.4 + K)</t>
  </si>
  <si>
    <t>I.5</t>
  </si>
  <si>
    <t>Idem, con I.2</t>
  </si>
  <si>
    <t>Compensazione ASL + Regione Provvisoria: MIN tra col (I.4+K) e (I.5+J2)</t>
  </si>
  <si>
    <t>MAX</t>
  </si>
  <si>
    <t>All. A col K + I.3</t>
  </si>
  <si>
    <t>All. A col J.2 + I.3</t>
  </si>
  <si>
    <t>All. B col (I.4+K) + I.3</t>
  </si>
  <si>
    <t>All. B col (I.5+J.2) + I.3</t>
  </si>
  <si>
    <t>EXTRA TETTO liquidabile: MINORE tra col. J.3 di All. A e col. J.3 di All. B</t>
  </si>
  <si>
    <t>(G)</t>
  </si>
  <si>
    <t>Contenzioso per fatture emesse direttamente vs. la Regione Campania</t>
  </si>
  <si>
    <t>Minor (-) o Maggiore (+) recupero dell'Extra Tetto in caso di compensazione prima a livello di ASL = (J.3 di All. B meno J.3 di All. A)</t>
  </si>
  <si>
    <t>Importo del "RISCHIO MAX": col I.3 di All. A + compensazione MAX (v. All. A e B)</t>
  </si>
  <si>
    <t>Importo da accantonare: col (I.2 + K) di All. A meno Extra Trtto Liquidabile (col. E)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</si>
</sst>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0.0%"/>
    <numFmt numFmtId="166" formatCode="0.0"/>
    <numFmt numFmtId="167" formatCode="#,##0.00_ ;[Red]\-#,##0.00\ "/>
    <numFmt numFmtId="168" formatCode="_-&quot;€ &quot;* #,##0.00_-;&quot;-€ &quot;* #,##0.00_-;_-&quot;€ &quot;* \-??_-;_-@_-"/>
    <numFmt numFmtId="169" formatCode="_-* #,##0.00_-;\-* #,##0.00_-;_-* \-??_-;_-@_-"/>
    <numFmt numFmtId="170" formatCode="#,###.00"/>
    <numFmt numFmtId="171" formatCode="[$€-410]\ #,##0.00;[Red]\-[$€-410]\ #,##0.00"/>
    <numFmt numFmtId="172" formatCode="_-* #,##0_-;\-* #,##0_-;_-* \-??_-;_-@_-"/>
    <numFmt numFmtId="173" formatCode="#,##0.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1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43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4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b/>
      <sz val="16"/>
      <name val="Arial"/>
      <family val="2"/>
    </font>
    <font>
      <b/>
      <sz val="10"/>
      <color indexed="43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169" fontId="0" fillId="0" borderId="0" applyFill="0" applyBorder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1" fillId="0" borderId="0" xfId="0" applyFont="1" applyAlignment="1">
      <alignment/>
    </xf>
    <xf numFmtId="4" fontId="0" fillId="17" borderId="10" xfId="53" applyNumberFormat="1" applyFont="1" applyFill="1" applyBorder="1" applyAlignment="1" applyProtection="1">
      <alignment/>
      <protection/>
    </xf>
    <xf numFmtId="4" fontId="0" fillId="17" borderId="11" xfId="53" applyNumberFormat="1" applyFont="1" applyFill="1" applyBorder="1" applyAlignment="1" applyProtection="1">
      <alignment/>
      <protection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" fontId="0" fillId="0" borderId="15" xfId="0" applyNumberFormat="1" applyFont="1" applyFill="1" applyBorder="1" applyAlignment="1">
      <alignment/>
    </xf>
    <xf numFmtId="164" fontId="0" fillId="0" borderId="10" xfId="52" applyFont="1" applyFill="1" applyBorder="1" applyAlignment="1" applyProtection="1">
      <alignment horizontal="left" wrapText="1"/>
      <protection/>
    </xf>
    <xf numFmtId="164" fontId="23" fillId="0" borderId="10" xfId="52" applyFont="1" applyFill="1" applyBorder="1" applyAlignment="1" applyProtection="1">
      <alignment horizontal="left"/>
      <protection/>
    </xf>
    <xf numFmtId="164" fontId="0" fillId="0" borderId="10" xfId="52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 wrapText="1"/>
    </xf>
    <xf numFmtId="164" fontId="0" fillId="0" borderId="10" xfId="52" applyFont="1" applyFill="1" applyBorder="1" applyAlignment="1" applyProtection="1">
      <alignment horizontal="left" wrapText="1"/>
      <protection/>
    </xf>
    <xf numFmtId="164" fontId="0" fillId="0" borderId="10" xfId="52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left"/>
    </xf>
    <xf numFmtId="164" fontId="25" fillId="0" borderId="10" xfId="52" applyFont="1" applyFill="1" applyBorder="1" applyAlignment="1" applyProtection="1">
      <alignment horizontal="left" wrapText="1"/>
      <protection/>
    </xf>
    <xf numFmtId="164" fontId="25" fillId="0" borderId="10" xfId="52" applyFont="1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164" fontId="22" fillId="0" borderId="10" xfId="52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wrapText="1"/>
    </xf>
    <xf numFmtId="164" fontId="0" fillId="0" borderId="0" xfId="52" applyFont="1" applyFill="1" applyBorder="1" applyAlignment="1" applyProtection="1">
      <alignment horizontal="left" wrapText="1"/>
      <protection/>
    </xf>
    <xf numFmtId="164" fontId="0" fillId="0" borderId="0" xfId="52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4" fontId="24" fillId="0" borderId="15" xfId="53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" fontId="0" fillId="18" borderId="10" xfId="53" applyNumberFormat="1" applyFont="1" applyFill="1" applyBorder="1" applyAlignment="1" applyProtection="1">
      <alignment/>
      <protection locked="0"/>
    </xf>
    <xf numFmtId="4" fontId="0" fillId="18" borderId="11" xfId="53" applyNumberFormat="1" applyFont="1" applyFill="1" applyBorder="1" applyAlignment="1" applyProtection="1">
      <alignment/>
      <protection locked="0"/>
    </xf>
    <xf numFmtId="0" fontId="27" fillId="0" borderId="13" xfId="0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23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9" fillId="0" borderId="10" xfId="0" applyFont="1" applyFill="1" applyBorder="1" applyAlignment="1">
      <alignment horizontal="left"/>
    </xf>
    <xf numFmtId="4" fontId="0" fillId="18" borderId="10" xfId="0" applyNumberFormat="1" applyFont="1" applyFill="1" applyBorder="1" applyAlignment="1" applyProtection="1">
      <alignment/>
      <protection locked="0"/>
    </xf>
    <xf numFmtId="4" fontId="0" fillId="8" borderId="10" xfId="0" applyNumberFormat="1" applyFont="1" applyFill="1" applyBorder="1" applyAlignment="1">
      <alignment/>
    </xf>
    <xf numFmtId="4" fontId="0" fillId="17" borderId="13" xfId="53" applyNumberFormat="1" applyFont="1" applyFill="1" applyBorder="1" applyAlignment="1" applyProtection="1">
      <alignment/>
      <protection/>
    </xf>
    <xf numFmtId="4" fontId="0" fillId="18" borderId="13" xfId="53" applyNumberFormat="1" applyFont="1" applyFill="1" applyBorder="1" applyAlignment="1" applyProtection="1">
      <alignment/>
      <protection locked="0"/>
    </xf>
    <xf numFmtId="4" fontId="0" fillId="0" borderId="10" xfId="53" applyNumberFormat="1" applyFont="1" applyFill="1" applyBorder="1" applyAlignment="1" applyProtection="1">
      <alignment/>
      <protection/>
    </xf>
    <xf numFmtId="4" fontId="0" fillId="18" borderId="10" xfId="53" applyNumberFormat="1" applyFont="1" applyFill="1" applyBorder="1" applyAlignment="1" applyProtection="1">
      <alignment/>
      <protection locked="0"/>
    </xf>
    <xf numFmtId="4" fontId="0" fillId="18" borderId="10" xfId="0" applyNumberFormat="1" applyFont="1" applyFill="1" applyBorder="1" applyAlignment="1" applyProtection="1">
      <alignment/>
      <protection locked="0"/>
    </xf>
    <xf numFmtId="4" fontId="0" fillId="17" borderId="10" xfId="53" applyNumberFormat="1" applyFont="1" applyFill="1" applyBorder="1" applyAlignment="1" applyProtection="1">
      <alignment/>
      <protection/>
    </xf>
    <xf numFmtId="4" fontId="0" fillId="8" borderId="10" xfId="0" applyNumberFormat="1" applyFont="1" applyFill="1" applyBorder="1" applyAlignment="1">
      <alignment/>
    </xf>
    <xf numFmtId="4" fontId="0" fillId="18" borderId="11" xfId="0" applyNumberFormat="1" applyFont="1" applyFill="1" applyBorder="1" applyAlignment="1" applyProtection="1">
      <alignment/>
      <protection locked="0"/>
    </xf>
    <xf numFmtId="4" fontId="0" fillId="17" borderId="11" xfId="53" applyNumberFormat="1" applyFont="1" applyFill="1" applyBorder="1" applyAlignment="1" applyProtection="1">
      <alignment/>
      <protection/>
    </xf>
    <xf numFmtId="4" fontId="0" fillId="17" borderId="13" xfId="53" applyNumberFormat="1" applyFont="1" applyFill="1" applyBorder="1" applyAlignment="1" applyProtection="1">
      <alignment/>
      <protection/>
    </xf>
    <xf numFmtId="4" fontId="0" fillId="18" borderId="13" xfId="53" applyNumberFormat="1" applyFont="1" applyFill="1" applyBorder="1" applyAlignment="1" applyProtection="1">
      <alignment/>
      <protection locked="0"/>
    </xf>
    <xf numFmtId="4" fontId="0" fillId="0" borderId="15" xfId="53" applyNumberFormat="1" applyFont="1" applyFill="1" applyBorder="1" applyAlignment="1" applyProtection="1">
      <alignment/>
      <protection/>
    </xf>
    <xf numFmtId="4" fontId="0" fillId="0" borderId="1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17" borderId="10" xfId="0" applyNumberFormat="1" applyFont="1" applyFill="1" applyBorder="1" applyAlignment="1">
      <alignment/>
    </xf>
    <xf numFmtId="4" fontId="0" fillId="0" borderId="11" xfId="53" applyNumberFormat="1" applyFont="1" applyFill="1" applyBorder="1" applyAlignment="1" applyProtection="1">
      <alignment/>
      <protection/>
    </xf>
    <xf numFmtId="4" fontId="0" fillId="17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" fontId="0" fillId="0" borderId="10" xfId="53" applyNumberFormat="1" applyFont="1" applyFill="1" applyBorder="1" applyAlignment="1" applyProtection="1" quotePrefix="1">
      <alignment/>
      <protection locked="0"/>
    </xf>
    <xf numFmtId="4" fontId="29" fillId="19" borderId="18" xfId="0" applyNumberFormat="1" applyFont="1" applyFill="1" applyBorder="1" applyAlignment="1">
      <alignment horizontal="right"/>
    </xf>
    <xf numFmtId="4" fontId="29" fillId="19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1" fillId="17" borderId="10" xfId="53" applyNumberFormat="1" applyFont="1" applyFill="1" applyBorder="1" applyAlignment="1" applyProtection="1">
      <alignment/>
      <protection/>
    </xf>
    <xf numFmtId="4" fontId="0" fillId="17" borderId="16" xfId="53" applyNumberFormat="1" applyFont="1" applyFill="1" applyBorder="1" applyAlignment="1" applyProtection="1">
      <alignment/>
      <protection/>
    </xf>
    <xf numFmtId="4" fontId="0" fillId="0" borderId="10" xfId="53" applyNumberFormat="1" applyFont="1" applyFill="1" applyBorder="1" applyAlignment="1" applyProtection="1">
      <alignment/>
      <protection/>
    </xf>
    <xf numFmtId="4" fontId="0" fillId="18" borderId="10" xfId="53" applyNumberFormat="1" applyFont="1" applyFill="1" applyBorder="1" applyAlignment="1" applyProtection="1" quotePrefix="1">
      <alignment/>
      <protection locked="0"/>
    </xf>
    <xf numFmtId="4" fontId="0" fillId="18" borderId="11" xfId="0" applyNumberFormat="1" applyFont="1" applyFill="1" applyBorder="1" applyAlignment="1" applyProtection="1">
      <alignment/>
      <protection locked="0"/>
    </xf>
    <xf numFmtId="43" fontId="0" fillId="0" borderId="0" xfId="5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4" fontId="21" fillId="17" borderId="13" xfId="53" applyNumberFormat="1" applyFont="1" applyFill="1" applyBorder="1" applyAlignment="1" applyProtection="1">
      <alignment/>
      <protection/>
    </xf>
    <xf numFmtId="4" fontId="33" fillId="0" borderId="15" xfId="53" applyNumberFormat="1" applyFont="1" applyFill="1" applyBorder="1" applyAlignment="1" applyProtection="1">
      <alignment/>
      <protection/>
    </xf>
    <xf numFmtId="4" fontId="21" fillId="0" borderId="10" xfId="53" applyNumberFormat="1" applyFont="1" applyFill="1" applyBorder="1" applyAlignment="1" applyProtection="1">
      <alignment/>
      <protection/>
    </xf>
    <xf numFmtId="4" fontId="21" fillId="0" borderId="15" xfId="53" applyNumberFormat="1" applyFont="1" applyFill="1" applyBorder="1" applyAlignment="1" applyProtection="1">
      <alignment/>
      <protection/>
    </xf>
    <xf numFmtId="4" fontId="21" fillId="0" borderId="15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4" fontId="21" fillId="17" borderId="10" xfId="0" applyNumberFormat="1" applyFont="1" applyFill="1" applyBorder="1" applyAlignment="1">
      <alignment/>
    </xf>
    <xf numFmtId="4" fontId="21" fillId="17" borderId="11" xfId="53" applyNumberFormat="1" applyFont="1" applyFill="1" applyBorder="1" applyAlignment="1" applyProtection="1">
      <alignment/>
      <protection/>
    </xf>
    <xf numFmtId="4" fontId="21" fillId="17" borderId="13" xfId="0" applyNumberFormat="1" applyFont="1" applyFill="1" applyBorder="1" applyAlignment="1">
      <alignment/>
    </xf>
    <xf numFmtId="4" fontId="0" fillId="0" borderId="15" xfId="53" applyNumberFormat="1" applyFont="1" applyFill="1" applyBorder="1" applyAlignment="1" applyProtection="1">
      <alignment/>
      <protection/>
    </xf>
    <xf numFmtId="4" fontId="0" fillId="0" borderId="1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17" borderId="10" xfId="0" applyNumberFormat="1" applyFont="1" applyFill="1" applyBorder="1" applyAlignment="1">
      <alignment/>
    </xf>
    <xf numFmtId="4" fontId="0" fillId="0" borderId="11" xfId="53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/>
    </xf>
    <xf numFmtId="4" fontId="0" fillId="17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26" fillId="0" borderId="13" xfId="0" applyNumberFormat="1" applyFont="1" applyFill="1" applyBorder="1" applyAlignment="1" quotePrefix="1">
      <alignment horizontal="center" vertical="center" wrapText="1"/>
    </xf>
    <xf numFmtId="9" fontId="21" fillId="17" borderId="10" xfId="57" applyFont="1" applyFill="1" applyBorder="1" applyAlignment="1" applyProtection="1">
      <alignment/>
      <protection/>
    </xf>
    <xf numFmtId="9" fontId="0" fillId="0" borderId="15" xfId="57" applyFill="1" applyBorder="1" applyAlignment="1" applyProtection="1">
      <alignment/>
      <protection/>
    </xf>
    <xf numFmtId="9" fontId="0" fillId="0" borderId="10" xfId="57" applyFill="1" applyBorder="1" applyAlignment="1" applyProtection="1">
      <alignment/>
      <protection/>
    </xf>
    <xf numFmtId="9" fontId="0" fillId="0" borderId="15" xfId="57" applyFill="1" applyBorder="1" applyAlignment="1">
      <alignment/>
    </xf>
    <xf numFmtId="9" fontId="0" fillId="0" borderId="10" xfId="57" applyFill="1" applyBorder="1" applyAlignment="1">
      <alignment/>
    </xf>
    <xf numFmtId="9" fontId="21" fillId="17" borderId="11" xfId="57" applyFont="1" applyFill="1" applyBorder="1" applyAlignment="1" applyProtection="1">
      <alignment/>
      <protection/>
    </xf>
    <xf numFmtId="9" fontId="21" fillId="17" borderId="13" xfId="57" applyFont="1" applyFill="1" applyBorder="1" applyAlignment="1" applyProtection="1">
      <alignment/>
      <protection/>
    </xf>
    <xf numFmtId="9" fontId="21" fillId="0" borderId="15" xfId="57" applyFont="1" applyFill="1" applyBorder="1" applyAlignment="1" applyProtection="1">
      <alignment/>
      <protection/>
    </xf>
    <xf numFmtId="9" fontId="21" fillId="0" borderId="10" xfId="57" applyFont="1" applyFill="1" applyBorder="1" applyAlignment="1" applyProtection="1">
      <alignment/>
      <protection/>
    </xf>
    <xf numFmtId="165" fontId="21" fillId="17" borderId="10" xfId="57" applyNumberFormat="1" applyFont="1" applyFill="1" applyBorder="1" applyAlignment="1" applyProtection="1">
      <alignment/>
      <protection/>
    </xf>
    <xf numFmtId="165" fontId="21" fillId="17" borderId="11" xfId="57" applyNumberFormat="1" applyFont="1" applyFill="1" applyBorder="1" applyAlignment="1" applyProtection="1">
      <alignment/>
      <protection/>
    </xf>
    <xf numFmtId="165" fontId="21" fillId="17" borderId="13" xfId="57" applyNumberFormat="1" applyFont="1" applyFill="1" applyBorder="1" applyAlignment="1" applyProtection="1">
      <alignment/>
      <protection/>
    </xf>
    <xf numFmtId="165" fontId="0" fillId="0" borderId="15" xfId="57" applyNumberFormat="1" applyFill="1" applyBorder="1" applyAlignment="1" applyProtection="1">
      <alignment/>
      <protection/>
    </xf>
    <xf numFmtId="165" fontId="0" fillId="0" borderId="10" xfId="57" applyNumberFormat="1" applyFill="1" applyBorder="1" applyAlignment="1" applyProtection="1">
      <alignment/>
      <protection/>
    </xf>
    <xf numFmtId="165" fontId="0" fillId="0" borderId="15" xfId="57" applyNumberFormat="1" applyFill="1" applyBorder="1" applyAlignment="1">
      <alignment/>
    </xf>
    <xf numFmtId="165" fontId="0" fillId="0" borderId="10" xfId="57" applyNumberFormat="1" applyFill="1" applyBorder="1" applyAlignment="1">
      <alignment/>
    </xf>
    <xf numFmtId="165" fontId="21" fillId="0" borderId="15" xfId="57" applyNumberFormat="1" applyFont="1" applyFill="1" applyBorder="1" applyAlignment="1" applyProtection="1">
      <alignment/>
      <protection/>
    </xf>
    <xf numFmtId="165" fontId="21" fillId="0" borderId="10" xfId="57" applyNumberFormat="1" applyFont="1" applyFill="1" applyBorder="1" applyAlignment="1" applyProtection="1">
      <alignment/>
      <protection/>
    </xf>
    <xf numFmtId="4" fontId="0" fillId="17" borderId="10" xfId="53" applyNumberFormat="1" applyFont="1" applyFill="1" applyBorder="1" applyAlignment="1" applyProtection="1">
      <alignment/>
      <protection locked="0"/>
    </xf>
    <xf numFmtId="4" fontId="21" fillId="17" borderId="10" xfId="53" applyNumberFormat="1" applyFont="1" applyFill="1" applyBorder="1" applyAlignment="1" applyProtection="1">
      <alignment/>
      <protection locked="0"/>
    </xf>
    <xf numFmtId="4" fontId="21" fillId="17" borderId="10" xfId="53" applyNumberFormat="1" applyFont="1" applyFill="1" applyBorder="1" applyAlignment="1" applyProtection="1" quotePrefix="1">
      <alignment/>
      <protection locked="0"/>
    </xf>
    <xf numFmtId="4" fontId="0" fillId="0" borderId="20" xfId="53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right"/>
    </xf>
    <xf numFmtId="0" fontId="21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4" fontId="34" fillId="0" borderId="13" xfId="0" applyNumberFormat="1" applyFont="1" applyFill="1" applyBorder="1" applyAlignment="1">
      <alignment horizontal="center" vertical="center" wrapText="1"/>
    </xf>
    <xf numFmtId="4" fontId="0" fillId="17" borderId="10" xfId="53" applyNumberFormat="1" applyFont="1" applyFill="1" applyBorder="1" applyAlignment="1" applyProtection="1" quotePrefix="1">
      <alignment/>
      <protection/>
    </xf>
    <xf numFmtId="0" fontId="26" fillId="0" borderId="0" xfId="0" applyFont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24" fillId="0" borderId="10" xfId="0" applyNumberFormat="1" applyFont="1" applyFill="1" applyBorder="1" applyAlignment="1">
      <alignment horizontal="left"/>
    </xf>
    <xf numFmtId="0" fontId="22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25" fillId="0" borderId="10" xfId="0" applyNumberFormat="1" applyFont="1" applyFill="1" applyBorder="1" applyAlignment="1">
      <alignment horizontal="left"/>
    </xf>
    <xf numFmtId="0" fontId="22" fillId="0" borderId="10" xfId="52" applyNumberFormat="1" applyFont="1" applyFill="1" applyBorder="1" applyAlignment="1" applyProtection="1">
      <alignment horizontal="left"/>
      <protection/>
    </xf>
    <xf numFmtId="4" fontId="20" fillId="0" borderId="13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4" fontId="20" fillId="17" borderId="13" xfId="0" applyNumberFormat="1" applyFont="1" applyFill="1" applyBorder="1" applyAlignment="1">
      <alignment/>
    </xf>
    <xf numFmtId="4" fontId="26" fillId="0" borderId="0" xfId="0" applyNumberFormat="1" applyFont="1" applyAlignment="1">
      <alignment/>
    </xf>
    <xf numFmtId="4" fontId="0" fillId="0" borderId="0" xfId="0" applyNumberForma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Migliaia_Angela Budget 2011 v. 4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Z121"/>
  <sheetViews>
    <sheetView tabSelected="1" zoomScale="75" zoomScaleNormal="75" workbookViewId="0" topLeftCell="A1">
      <pane xSplit="2" ySplit="2" topLeftCell="K4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65" sqref="O65"/>
    </sheetView>
  </sheetViews>
  <sheetFormatPr defaultColWidth="9.140625" defaultRowHeight="12.75"/>
  <cols>
    <col min="1" max="1" width="7.7109375" style="7" customWidth="1"/>
    <col min="2" max="2" width="46.140625" style="2" customWidth="1"/>
    <col min="3" max="3" width="9.00390625" style="2" customWidth="1"/>
    <col min="4" max="4" width="13.8515625" style="6" customWidth="1"/>
    <col min="5" max="9" width="13.7109375" style="6" customWidth="1"/>
    <col min="10" max="10" width="54.8515625" style="6" customWidth="1"/>
    <col min="11" max="12" width="13.8515625" style="6" customWidth="1"/>
    <col min="13" max="18" width="13.8515625" style="2" customWidth="1"/>
    <col min="19" max="19" width="14.28125" style="2" customWidth="1"/>
    <col min="20" max="20" width="7.8515625" style="2" customWidth="1"/>
    <col min="21" max="23" width="13.8515625" style="2" customWidth="1"/>
    <col min="24" max="24" width="13.421875" style="2" customWidth="1"/>
    <col min="25" max="16384" width="11.57421875" style="2" customWidth="1"/>
  </cols>
  <sheetData>
    <row r="1" spans="1:23" s="1" customFormat="1" ht="30" customHeight="1">
      <c r="A1" s="10"/>
      <c r="B1" s="11" t="s">
        <v>0</v>
      </c>
      <c r="C1" s="12"/>
      <c r="D1" s="13" t="s">
        <v>1</v>
      </c>
      <c r="E1" s="13" t="s">
        <v>2</v>
      </c>
      <c r="F1" s="13" t="s">
        <v>91</v>
      </c>
      <c r="G1" s="13" t="s">
        <v>3</v>
      </c>
      <c r="H1" s="13" t="s">
        <v>4</v>
      </c>
      <c r="I1" s="13" t="s">
        <v>108</v>
      </c>
      <c r="J1" s="13"/>
      <c r="K1" s="82" t="s">
        <v>109</v>
      </c>
      <c r="L1" s="13" t="s">
        <v>110</v>
      </c>
      <c r="M1" s="83" t="s">
        <v>144</v>
      </c>
      <c r="N1" s="94" t="s">
        <v>136</v>
      </c>
      <c r="O1" s="94" t="s">
        <v>137</v>
      </c>
      <c r="P1" s="83" t="s">
        <v>146</v>
      </c>
      <c r="Q1" s="82" t="s">
        <v>147</v>
      </c>
      <c r="R1" s="94" t="s">
        <v>139</v>
      </c>
      <c r="S1" s="94" t="s">
        <v>141</v>
      </c>
      <c r="T1" s="94"/>
      <c r="U1" s="82" t="s">
        <v>145</v>
      </c>
      <c r="V1" s="13" t="s">
        <v>112</v>
      </c>
      <c r="W1" s="13" t="s">
        <v>111</v>
      </c>
    </row>
    <row r="2" spans="1:37" s="1" customFormat="1" ht="82.5" customHeight="1">
      <c r="A2" s="14" t="s">
        <v>5</v>
      </c>
      <c r="B2" s="52" t="s">
        <v>101</v>
      </c>
      <c r="C2" s="15" t="s">
        <v>152</v>
      </c>
      <c r="D2" s="16" t="s">
        <v>96</v>
      </c>
      <c r="E2" s="17" t="s">
        <v>114</v>
      </c>
      <c r="F2" s="19" t="s">
        <v>92</v>
      </c>
      <c r="G2" s="19" t="s">
        <v>93</v>
      </c>
      <c r="H2" s="19" t="s">
        <v>94</v>
      </c>
      <c r="I2" s="17" t="s">
        <v>107</v>
      </c>
      <c r="J2" s="53" t="s">
        <v>102</v>
      </c>
      <c r="K2" s="16" t="s">
        <v>95</v>
      </c>
      <c r="L2" s="18" t="s">
        <v>89</v>
      </c>
      <c r="M2" s="19" t="s">
        <v>98</v>
      </c>
      <c r="N2" s="17" t="s">
        <v>135</v>
      </c>
      <c r="O2" s="17" t="s">
        <v>134</v>
      </c>
      <c r="P2" s="17" t="s">
        <v>97</v>
      </c>
      <c r="Q2" s="17" t="s">
        <v>142</v>
      </c>
      <c r="R2" s="19" t="s">
        <v>140</v>
      </c>
      <c r="S2" s="19" t="s">
        <v>143</v>
      </c>
      <c r="T2" s="113" t="s">
        <v>151</v>
      </c>
      <c r="U2" s="19" t="s">
        <v>99</v>
      </c>
      <c r="V2" s="55" t="s">
        <v>100</v>
      </c>
      <c r="W2" s="17" t="s">
        <v>166</v>
      </c>
      <c r="AK2" s="1" t="s">
        <v>132</v>
      </c>
    </row>
    <row r="3" spans="1:23" ht="15.75" customHeight="1">
      <c r="A3" s="20" t="s">
        <v>6</v>
      </c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39" ht="12.75" customHeight="1">
      <c r="A4" s="144">
        <v>150143</v>
      </c>
      <c r="B4" s="23" t="s">
        <v>8</v>
      </c>
      <c r="C4" s="24" t="s">
        <v>105</v>
      </c>
      <c r="D4" s="50">
        <v>7326809.44</v>
      </c>
      <c r="E4" s="50">
        <v>1292965.93</v>
      </c>
      <c r="F4" s="50">
        <v>0</v>
      </c>
      <c r="G4" s="50">
        <v>66772.09</v>
      </c>
      <c r="H4" s="50">
        <v>28420.53</v>
      </c>
      <c r="I4" s="91">
        <v>16872.02</v>
      </c>
      <c r="J4" s="62"/>
      <c r="K4" s="8">
        <f>+D4+E4-F4-G4-H4-I4</f>
        <v>8507710.730000002</v>
      </c>
      <c r="L4" s="8">
        <v>7800000</v>
      </c>
      <c r="M4" s="63">
        <f>IF(K4&gt;L4,(K4-L4),0)</f>
        <v>707710.7300000023</v>
      </c>
      <c r="N4" s="8"/>
      <c r="O4" s="8"/>
      <c r="P4" s="70">
        <f aca="true" t="shared" si="0" ref="P4:P10">IF(K4&gt;L4,0,(L4-K4-O4))</f>
        <v>0</v>
      </c>
      <c r="Q4" s="8">
        <f>ROUND(P$100/M$100*M4,2)</f>
        <v>242930.24</v>
      </c>
      <c r="R4" s="8">
        <f>ROUND(P$100/(M$100+N$100)*(M4+N4),2)</f>
        <v>223163.44</v>
      </c>
      <c r="S4" s="88">
        <f>IF(Q4&gt;R4,R4,Q4)</f>
        <v>223163.44</v>
      </c>
      <c r="T4" s="123">
        <f aca="true" t="shared" si="1" ref="T4:T11">IF(M4=0,"      n.s.",+S4/M4)</f>
        <v>0.3153314349211567</v>
      </c>
      <c r="U4" s="8">
        <f aca="true" t="shared" si="2" ref="U4:U10">+M4-S4</f>
        <v>484547.2900000023</v>
      </c>
      <c r="V4" s="8">
        <f>+U4</f>
        <v>484547.2900000023</v>
      </c>
      <c r="W4" s="8"/>
      <c r="X4" s="84">
        <f>ROUND((H4+G4+F4)/(D4)*E4,2)</f>
        <v>16798.69</v>
      </c>
      <c r="Y4" s="54">
        <f>+X4-I4</f>
        <v>-73.33000000000175</v>
      </c>
      <c r="AA4" s="87"/>
      <c r="AH4" s="87"/>
      <c r="AI4" s="87"/>
      <c r="AJ4" s="87"/>
      <c r="AK4" s="87"/>
      <c r="AL4" s="87"/>
      <c r="AM4" s="87"/>
    </row>
    <row r="5" spans="1:39" s="3" customFormat="1" ht="12.75" customHeight="1">
      <c r="A5" s="144">
        <v>150144</v>
      </c>
      <c r="B5" s="23" t="s">
        <v>10</v>
      </c>
      <c r="C5" s="24"/>
      <c r="D5" s="50">
        <v>2058529.1</v>
      </c>
      <c r="E5" s="50">
        <v>0</v>
      </c>
      <c r="F5" s="50">
        <v>0</v>
      </c>
      <c r="G5" s="50">
        <v>13777.16</v>
      </c>
      <c r="H5" s="50">
        <v>65504.31</v>
      </c>
      <c r="I5" s="50">
        <v>0</v>
      </c>
      <c r="J5" s="62"/>
      <c r="K5" s="8">
        <f aca="true" t="shared" si="3" ref="K5:K10">+D5+E5-F5-G5-H5-I5</f>
        <v>1979247.6300000001</v>
      </c>
      <c r="L5" s="8">
        <v>1550000</v>
      </c>
      <c r="M5" s="63">
        <f aca="true" t="shared" si="4" ref="M5:M10">IF(K5&gt;L5,(K5-L5),0)</f>
        <v>429247.6300000001</v>
      </c>
      <c r="N5" s="8"/>
      <c r="O5" s="8"/>
      <c r="P5" s="70">
        <f t="shared" si="0"/>
        <v>0</v>
      </c>
      <c r="Q5" s="8">
        <f aca="true" t="shared" si="5" ref="Q5:Q10">ROUND(P$100/M$100*M5,2)</f>
        <v>147344.43</v>
      </c>
      <c r="R5" s="8">
        <f aca="true" t="shared" si="6" ref="R5:R10">ROUND(P$100/(M$100+N$100)*(M5+N5),2)</f>
        <v>135355.27</v>
      </c>
      <c r="S5" s="88">
        <f aca="true" t="shared" si="7" ref="S5:S10">IF(Q5&gt;R5,R5,Q5)</f>
        <v>135355.27</v>
      </c>
      <c r="T5" s="123">
        <f t="shared" si="1"/>
        <v>0.3153314323482693</v>
      </c>
      <c r="U5" s="8">
        <f t="shared" si="2"/>
        <v>293892.3600000001</v>
      </c>
      <c r="V5" s="8">
        <f aca="true" t="shared" si="8" ref="V5:V10">+U5</f>
        <v>293892.3600000001</v>
      </c>
      <c r="W5" s="8"/>
      <c r="AA5" s="87"/>
      <c r="AH5" s="87"/>
      <c r="AI5" s="87"/>
      <c r="AJ5" s="87"/>
      <c r="AK5" s="87"/>
      <c r="AL5" s="87"/>
      <c r="AM5" s="87"/>
    </row>
    <row r="6" spans="1:39" s="3" customFormat="1" ht="12.75" customHeight="1">
      <c r="A6" s="144">
        <v>150145</v>
      </c>
      <c r="B6" s="23" t="s">
        <v>13</v>
      </c>
      <c r="C6" s="25"/>
      <c r="D6" s="50">
        <v>10115089.88</v>
      </c>
      <c r="E6" s="50">
        <v>0</v>
      </c>
      <c r="F6" s="50">
        <v>0</v>
      </c>
      <c r="G6" s="50">
        <v>144841.29</v>
      </c>
      <c r="H6" s="50">
        <v>148681.47</v>
      </c>
      <c r="I6" s="50">
        <v>0</v>
      </c>
      <c r="J6" s="62" t="s">
        <v>129</v>
      </c>
      <c r="K6" s="8">
        <f t="shared" si="3"/>
        <v>9821567.120000001</v>
      </c>
      <c r="L6" s="8">
        <v>9080000</v>
      </c>
      <c r="M6" s="63">
        <f t="shared" si="4"/>
        <v>741567.120000001</v>
      </c>
      <c r="N6" s="8"/>
      <c r="O6" s="8"/>
      <c r="P6" s="70">
        <f t="shared" si="0"/>
        <v>0</v>
      </c>
      <c r="Q6" s="8">
        <f t="shared" si="5"/>
        <v>254551.86</v>
      </c>
      <c r="R6" s="8">
        <f t="shared" si="6"/>
        <v>233839.42</v>
      </c>
      <c r="S6" s="88">
        <f t="shared" si="7"/>
        <v>233839.42</v>
      </c>
      <c r="T6" s="123">
        <f t="shared" si="1"/>
        <v>0.315331429473302</v>
      </c>
      <c r="U6" s="8">
        <f t="shared" si="2"/>
        <v>507727.700000001</v>
      </c>
      <c r="V6" s="8">
        <f t="shared" si="8"/>
        <v>507727.700000001</v>
      </c>
      <c r="W6" s="8"/>
      <c r="AA6" s="87"/>
      <c r="AH6" s="87"/>
      <c r="AI6" s="87"/>
      <c r="AJ6" s="87"/>
      <c r="AK6" s="87" t="s">
        <v>133</v>
      </c>
      <c r="AL6" s="87"/>
      <c r="AM6" s="87"/>
    </row>
    <row r="7" spans="1:39" s="3" customFormat="1" ht="12.75" customHeight="1">
      <c r="A7" s="144">
        <v>150146</v>
      </c>
      <c r="B7" s="23" t="s">
        <v>11</v>
      </c>
      <c r="C7" s="25"/>
      <c r="D7" s="50">
        <v>6824917.99</v>
      </c>
      <c r="E7" s="50">
        <v>0</v>
      </c>
      <c r="F7" s="50">
        <v>0</v>
      </c>
      <c r="G7" s="50">
        <v>43773.63</v>
      </c>
      <c r="H7" s="50">
        <v>357134.38</v>
      </c>
      <c r="I7" s="50">
        <v>0</v>
      </c>
      <c r="J7" s="62"/>
      <c r="K7" s="8">
        <f t="shared" si="3"/>
        <v>6424009.98</v>
      </c>
      <c r="L7" s="8">
        <v>6700000</v>
      </c>
      <c r="M7" s="63">
        <f t="shared" si="4"/>
        <v>0</v>
      </c>
      <c r="N7" s="8"/>
      <c r="O7" s="8"/>
      <c r="P7" s="70">
        <f t="shared" si="0"/>
        <v>275990.01999999955</v>
      </c>
      <c r="Q7" s="8">
        <f t="shared" si="5"/>
        <v>0</v>
      </c>
      <c r="R7" s="8">
        <f t="shared" si="6"/>
        <v>0</v>
      </c>
      <c r="S7" s="88">
        <f t="shared" si="7"/>
        <v>0</v>
      </c>
      <c r="T7" s="123" t="str">
        <f t="shared" si="1"/>
        <v>      n.s.</v>
      </c>
      <c r="U7" s="8">
        <f t="shared" si="2"/>
        <v>0</v>
      </c>
      <c r="V7" s="8">
        <f t="shared" si="8"/>
        <v>0</v>
      </c>
      <c r="W7" s="8"/>
      <c r="AA7" s="87"/>
      <c r="AH7" s="87"/>
      <c r="AI7" s="87"/>
      <c r="AJ7" s="87"/>
      <c r="AK7" s="87"/>
      <c r="AL7" s="87"/>
      <c r="AM7" s="87"/>
    </row>
    <row r="8" spans="1:39" s="3" customFormat="1" ht="12.75" customHeight="1">
      <c r="A8" s="144">
        <v>150147</v>
      </c>
      <c r="B8" s="23" t="s">
        <v>7</v>
      </c>
      <c r="C8" s="25"/>
      <c r="D8" s="50">
        <v>6425654.26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62"/>
      <c r="K8" s="8">
        <f t="shared" si="3"/>
        <v>6425654.26</v>
      </c>
      <c r="L8" s="8">
        <v>7415000</v>
      </c>
      <c r="M8" s="63">
        <f t="shared" si="4"/>
        <v>0</v>
      </c>
      <c r="N8" s="8"/>
      <c r="O8" s="8"/>
      <c r="P8" s="70">
        <f t="shared" si="0"/>
        <v>989345.7400000002</v>
      </c>
      <c r="Q8" s="8">
        <f t="shared" si="5"/>
        <v>0</v>
      </c>
      <c r="R8" s="8">
        <f t="shared" si="6"/>
        <v>0</v>
      </c>
      <c r="S8" s="88">
        <f t="shared" si="7"/>
        <v>0</v>
      </c>
      <c r="T8" s="123" t="str">
        <f t="shared" si="1"/>
        <v>      n.s.</v>
      </c>
      <c r="U8" s="8">
        <f t="shared" si="2"/>
        <v>0</v>
      </c>
      <c r="V8" s="8">
        <f t="shared" si="8"/>
        <v>0</v>
      </c>
      <c r="W8" s="8"/>
      <c r="AA8" s="87"/>
      <c r="AH8" s="87"/>
      <c r="AI8" s="87"/>
      <c r="AJ8" s="87"/>
      <c r="AK8" s="87"/>
      <c r="AL8" s="87"/>
      <c r="AM8" s="87"/>
    </row>
    <row r="9" spans="1:39" s="3" customFormat="1" ht="12.75" customHeight="1">
      <c r="A9" s="144">
        <v>150148</v>
      </c>
      <c r="B9" s="23" t="s">
        <v>12</v>
      </c>
      <c r="C9" s="25"/>
      <c r="D9" s="50">
        <v>42915379.39</v>
      </c>
      <c r="E9" s="50">
        <v>0</v>
      </c>
      <c r="F9" s="50">
        <v>0</v>
      </c>
      <c r="G9" s="50">
        <v>665910.8</v>
      </c>
      <c r="H9" s="50">
        <v>893784.25</v>
      </c>
      <c r="I9" s="50">
        <v>0</v>
      </c>
      <c r="J9" s="62"/>
      <c r="K9" s="8">
        <f t="shared" si="3"/>
        <v>41355684.34</v>
      </c>
      <c r="L9" s="8">
        <v>40938000</v>
      </c>
      <c r="M9" s="63">
        <f t="shared" si="4"/>
        <v>417684.3400000036</v>
      </c>
      <c r="N9" s="8"/>
      <c r="O9" s="8"/>
      <c r="P9" s="70">
        <f t="shared" si="0"/>
        <v>0</v>
      </c>
      <c r="Q9" s="8">
        <f t="shared" si="5"/>
        <v>143375.19</v>
      </c>
      <c r="R9" s="8">
        <f t="shared" si="6"/>
        <v>131709</v>
      </c>
      <c r="S9" s="88">
        <f t="shared" si="7"/>
        <v>131709</v>
      </c>
      <c r="T9" s="123">
        <f t="shared" si="1"/>
        <v>0.31533142947135356</v>
      </c>
      <c r="U9" s="8">
        <f t="shared" si="2"/>
        <v>285975.3400000036</v>
      </c>
      <c r="V9" s="8">
        <f t="shared" si="8"/>
        <v>285975.3400000036</v>
      </c>
      <c r="W9" s="8"/>
      <c r="AA9" s="87"/>
      <c r="AH9" s="87"/>
      <c r="AI9" s="87"/>
      <c r="AJ9" s="87"/>
      <c r="AK9" s="87"/>
      <c r="AL9" s="87"/>
      <c r="AM9" s="87"/>
    </row>
    <row r="10" spans="1:39" s="3" customFormat="1" ht="12.75" customHeight="1">
      <c r="A10" s="144">
        <v>150149</v>
      </c>
      <c r="B10" s="23" t="s">
        <v>9</v>
      </c>
      <c r="C10" s="25"/>
      <c r="D10" s="51">
        <v>24917228.22</v>
      </c>
      <c r="E10" s="50">
        <v>0</v>
      </c>
      <c r="F10" s="50">
        <v>0</v>
      </c>
      <c r="G10" s="50">
        <v>171849.24</v>
      </c>
      <c r="H10" s="50">
        <v>466967.39</v>
      </c>
      <c r="I10" s="51">
        <v>0</v>
      </c>
      <c r="J10" s="92"/>
      <c r="K10" s="8">
        <f t="shared" si="3"/>
        <v>24278411.59</v>
      </c>
      <c r="L10" s="9">
        <v>26190000</v>
      </c>
      <c r="M10" s="63">
        <f t="shared" si="4"/>
        <v>0</v>
      </c>
      <c r="N10" s="9"/>
      <c r="O10" s="9"/>
      <c r="P10" s="70">
        <f t="shared" si="0"/>
        <v>1911588.4100000001</v>
      </c>
      <c r="Q10" s="8">
        <f t="shared" si="5"/>
        <v>0</v>
      </c>
      <c r="R10" s="8">
        <f t="shared" si="6"/>
        <v>0</v>
      </c>
      <c r="S10" s="88">
        <f t="shared" si="7"/>
        <v>0</v>
      </c>
      <c r="T10" s="124" t="str">
        <f t="shared" si="1"/>
        <v>      n.s.</v>
      </c>
      <c r="U10" s="8">
        <f t="shared" si="2"/>
        <v>0</v>
      </c>
      <c r="V10" s="8">
        <f t="shared" si="8"/>
        <v>0</v>
      </c>
      <c r="W10" s="9"/>
      <c r="AA10" s="87"/>
      <c r="AH10" s="87"/>
      <c r="AI10" s="87"/>
      <c r="AJ10" s="87"/>
      <c r="AK10" s="87"/>
      <c r="AL10" s="87"/>
      <c r="AM10" s="87"/>
    </row>
    <row r="11" spans="1:39" s="3" customFormat="1" ht="15.75" customHeight="1">
      <c r="A11" s="145"/>
      <c r="B11" s="26" t="s">
        <v>14</v>
      </c>
      <c r="C11" s="27"/>
      <c r="D11" s="64">
        <f aca="true" t="shared" si="9" ref="D11:U11">SUM(D4:D10)</f>
        <v>100583608.28</v>
      </c>
      <c r="E11" s="64">
        <f t="shared" si="9"/>
        <v>1292965.93</v>
      </c>
      <c r="F11" s="64">
        <f t="shared" si="9"/>
        <v>0</v>
      </c>
      <c r="G11" s="64">
        <f t="shared" si="9"/>
        <v>1106924.21</v>
      </c>
      <c r="H11" s="64">
        <f t="shared" si="9"/>
        <v>1960492.33</v>
      </c>
      <c r="I11" s="64">
        <f t="shared" si="9"/>
        <v>16872.02</v>
      </c>
      <c r="J11" s="65"/>
      <c r="K11" s="64">
        <f t="shared" si="9"/>
        <v>98792285.65</v>
      </c>
      <c r="L11" s="64">
        <f t="shared" si="9"/>
        <v>99673000</v>
      </c>
      <c r="M11" s="64">
        <f t="shared" si="9"/>
        <v>2296209.820000007</v>
      </c>
      <c r="N11" s="64">
        <f>SUM(N4:N10)</f>
        <v>0</v>
      </c>
      <c r="O11" s="64">
        <f>SUM(O4:O10)</f>
        <v>0</v>
      </c>
      <c r="P11" s="64">
        <f t="shared" si="9"/>
        <v>3176924.17</v>
      </c>
      <c r="Q11" s="64">
        <f t="shared" si="9"/>
        <v>788201.72</v>
      </c>
      <c r="R11" s="64">
        <f>SUM(R4:R10)</f>
        <v>724067.13</v>
      </c>
      <c r="S11" s="95">
        <f>SUM(S4:S10)</f>
        <v>724067.13</v>
      </c>
      <c r="T11" s="125">
        <f t="shared" si="1"/>
        <v>0.31533143168946026</v>
      </c>
      <c r="U11" s="64">
        <f t="shared" si="9"/>
        <v>1572142.690000007</v>
      </c>
      <c r="V11" s="64">
        <f>SUM(V4:V10)</f>
        <v>1572142.690000007</v>
      </c>
      <c r="W11" s="64">
        <f>SUM(W4:W10)</f>
        <v>0</v>
      </c>
      <c r="AH11" s="87"/>
      <c r="AI11" s="87"/>
      <c r="AJ11" s="87"/>
      <c r="AK11" s="87"/>
      <c r="AL11" s="87"/>
      <c r="AM11" s="87"/>
    </row>
    <row r="12" spans="1:23" s="3" customFormat="1" ht="6" customHeight="1">
      <c r="A12" s="146"/>
      <c r="B12" s="28"/>
      <c r="C12" s="29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96"/>
      <c r="T12" s="126"/>
      <c r="U12" s="48"/>
      <c r="V12" s="48"/>
      <c r="W12" s="48"/>
    </row>
    <row r="13" spans="1:23" s="3" customFormat="1" ht="15.75" customHeight="1">
      <c r="A13" s="147" t="s">
        <v>15</v>
      </c>
      <c r="B13" s="31"/>
      <c r="C13" s="31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97"/>
      <c r="T13" s="127"/>
      <c r="U13" s="66"/>
      <c r="V13" s="66"/>
      <c r="W13" s="66"/>
    </row>
    <row r="14" spans="1:39" s="3" customFormat="1" ht="12.75" customHeight="1">
      <c r="A14" s="144">
        <v>150033</v>
      </c>
      <c r="B14" s="32" t="s">
        <v>16</v>
      </c>
      <c r="C14" s="24" t="s">
        <v>105</v>
      </c>
      <c r="D14" s="67">
        <v>9484118.030000001</v>
      </c>
      <c r="E14" s="67">
        <v>1673667.88</v>
      </c>
      <c r="F14" s="67">
        <v>0</v>
      </c>
      <c r="G14" s="67">
        <v>223937.2505</v>
      </c>
      <c r="H14" s="67">
        <v>191747.04950000002</v>
      </c>
      <c r="I14" s="67">
        <v>73356.05</v>
      </c>
      <c r="J14" s="68" t="s">
        <v>120</v>
      </c>
      <c r="K14" s="69">
        <f>+D14+E14-F14-G14-H14-I14</f>
        <v>10668745.56</v>
      </c>
      <c r="L14" s="69">
        <v>10300000</v>
      </c>
      <c r="M14" s="70">
        <f>IF(K14&gt;L14,(K14-L14),0)</f>
        <v>368745.5600000005</v>
      </c>
      <c r="N14" s="69"/>
      <c r="O14" s="69"/>
      <c r="P14" s="70">
        <f>IF(K14&gt;L14,0,(L14-K14-O14))</f>
        <v>0</v>
      </c>
      <c r="Q14" s="8">
        <f>ROUND(P$100/M$100*M14,2)</f>
        <v>126576.36</v>
      </c>
      <c r="R14" s="8">
        <f>ROUND(P$100/(M$100+N$100)*(M14+N14),2)</f>
        <v>116277.07</v>
      </c>
      <c r="S14" s="88">
        <f>IF(Q14&gt;R14,R14,Q14)</f>
        <v>116277.07</v>
      </c>
      <c r="T14" s="123">
        <f aca="true" t="shared" si="10" ref="T14:T19">IF(M14=0,"      n.s.",+S14/M14)</f>
        <v>0.31533144426199966</v>
      </c>
      <c r="U14" s="8">
        <f>+M14-S14</f>
        <v>252468.49000000051</v>
      </c>
      <c r="V14" s="8">
        <f>+U14</f>
        <v>252468.49000000051</v>
      </c>
      <c r="W14" s="69"/>
      <c r="X14" s="84">
        <f>ROUND((H14+G14+F14)/(D14)*E14,2)</f>
        <v>73356.05</v>
      </c>
      <c r="Y14" s="54">
        <f>+X14-I14</f>
        <v>0</v>
      </c>
      <c r="AA14" s="54"/>
      <c r="AH14" s="54"/>
      <c r="AI14" s="54"/>
      <c r="AJ14" s="54"/>
      <c r="AK14" s="54"/>
      <c r="AL14" s="54"/>
      <c r="AM14" s="54"/>
    </row>
    <row r="15" spans="1:39" s="3" customFormat="1" ht="12.75" customHeight="1">
      <c r="A15" s="144">
        <v>150034</v>
      </c>
      <c r="B15" s="32" t="s">
        <v>19</v>
      </c>
      <c r="C15" s="33"/>
      <c r="D15" s="67">
        <v>8731025.62</v>
      </c>
      <c r="E15" s="67">
        <v>0</v>
      </c>
      <c r="F15" s="67">
        <v>0</v>
      </c>
      <c r="G15" s="67">
        <v>166641.2543</v>
      </c>
      <c r="H15" s="67">
        <v>91488.9376</v>
      </c>
      <c r="I15" s="67">
        <v>0</v>
      </c>
      <c r="J15" s="68"/>
      <c r="K15" s="69">
        <f>+D15+E15-F15-G15-H15-I15</f>
        <v>8472895.4281</v>
      </c>
      <c r="L15" s="69">
        <v>8500000</v>
      </c>
      <c r="M15" s="70">
        <f>IF(K15&gt;L15,(K15-L15),0)</f>
        <v>0</v>
      </c>
      <c r="N15" s="69"/>
      <c r="O15" s="69"/>
      <c r="P15" s="70">
        <f>IF(K15&gt;L15,0,(L15-K15-O15))</f>
        <v>27104.571900000796</v>
      </c>
      <c r="Q15" s="8">
        <f>ROUND(P$100/M$100*M15,2)</f>
        <v>0</v>
      </c>
      <c r="R15" s="8">
        <f>ROUND(P$100/(M$100+N$100)*(M15+N15),2)</f>
        <v>0</v>
      </c>
      <c r="S15" s="88">
        <f>IF(Q15&gt;R15,R15,Q15)</f>
        <v>0</v>
      </c>
      <c r="T15" s="123" t="str">
        <f t="shared" si="10"/>
        <v>      n.s.</v>
      </c>
      <c r="U15" s="8">
        <f>+M15-S15</f>
        <v>0</v>
      </c>
      <c r="V15" s="8">
        <f>+U15</f>
        <v>0</v>
      </c>
      <c r="W15" s="69"/>
      <c r="AA15" s="54"/>
      <c r="AH15" s="54"/>
      <c r="AI15" s="54"/>
      <c r="AJ15" s="54"/>
      <c r="AK15" s="54"/>
      <c r="AL15" s="54"/>
      <c r="AM15" s="54"/>
    </row>
    <row r="16" spans="1:234" s="4" customFormat="1" ht="12.75" customHeight="1">
      <c r="A16" s="144">
        <v>150035</v>
      </c>
      <c r="B16" s="26" t="s">
        <v>18</v>
      </c>
      <c r="C16" s="24" t="s">
        <v>103</v>
      </c>
      <c r="D16" s="67">
        <v>8599724.77</v>
      </c>
      <c r="E16" s="67">
        <v>1659596</v>
      </c>
      <c r="F16" s="67">
        <v>0</v>
      </c>
      <c r="G16" s="67">
        <v>62767.59100000001</v>
      </c>
      <c r="H16" s="67">
        <v>196885.2537</v>
      </c>
      <c r="I16" s="67">
        <v>50108.44</v>
      </c>
      <c r="J16" s="68"/>
      <c r="K16" s="69">
        <f>+D16+E16-F16-G16-H16-I16</f>
        <v>9949559.4853</v>
      </c>
      <c r="L16" s="69">
        <v>9600000</v>
      </c>
      <c r="M16" s="70">
        <f>IF(K16&gt;L16,(K16-L16),0)</f>
        <v>349559.48530000076</v>
      </c>
      <c r="N16" s="69"/>
      <c r="O16" s="69"/>
      <c r="P16" s="70">
        <f>IF(K16&gt;L16,0,(L16-K16-O16))</f>
        <v>0</v>
      </c>
      <c r="Q16" s="8">
        <f>ROUND(P$100/M$100*M16,2)</f>
        <v>119990.51</v>
      </c>
      <c r="R16" s="8">
        <f>ROUND(P$100/(M$100+N$100)*(M16+N16),2)</f>
        <v>110227.09</v>
      </c>
      <c r="S16" s="88">
        <f>IF(Q16&gt;R16,R16,Q16)</f>
        <v>110227.09</v>
      </c>
      <c r="T16" s="123">
        <f t="shared" si="10"/>
        <v>0.3153314232208585</v>
      </c>
      <c r="U16" s="8">
        <f>+M16-S16</f>
        <v>239332.39530000076</v>
      </c>
      <c r="V16" s="8">
        <f>+U16</f>
        <v>239332.39530000076</v>
      </c>
      <c r="W16" s="69"/>
      <c r="X16" s="84">
        <f>ROUND((H16+G16+F16)/(D16)*E16,2)</f>
        <v>50108.44</v>
      </c>
      <c r="Y16" s="54">
        <f>+X16-I16</f>
        <v>0</v>
      </c>
      <c r="AA16" s="54"/>
      <c r="AH16" s="54"/>
      <c r="AI16" s="54"/>
      <c r="AJ16" s="54"/>
      <c r="AK16" s="54"/>
      <c r="AL16" s="54"/>
      <c r="AM16" s="54"/>
      <c r="HS16" s="3"/>
      <c r="HT16" s="3"/>
      <c r="HU16" s="3"/>
      <c r="HV16" s="3"/>
      <c r="HW16" s="3"/>
      <c r="HX16" s="3"/>
      <c r="HY16" s="3"/>
      <c r="HZ16" s="3"/>
    </row>
    <row r="17" spans="1:39" s="3" customFormat="1" ht="12.75" customHeight="1">
      <c r="A17" s="144">
        <v>150350</v>
      </c>
      <c r="B17" s="32" t="s">
        <v>90</v>
      </c>
      <c r="C17" s="33"/>
      <c r="D17" s="67">
        <v>1879209.75</v>
      </c>
      <c r="E17" s="67">
        <v>0</v>
      </c>
      <c r="F17" s="67">
        <v>0</v>
      </c>
      <c r="G17" s="67">
        <v>0</v>
      </c>
      <c r="H17" s="67">
        <v>3029.9610000000007</v>
      </c>
      <c r="I17" s="67">
        <v>0</v>
      </c>
      <c r="J17" s="68"/>
      <c r="K17" s="69">
        <f>+D17+E17-F17-G17-H17-I17</f>
        <v>1876179.789</v>
      </c>
      <c r="L17" s="69">
        <v>1970000</v>
      </c>
      <c r="M17" s="70">
        <f>IF(K17&gt;L17,(K17-L17),0)</f>
        <v>0</v>
      </c>
      <c r="N17" s="69"/>
      <c r="O17" s="69"/>
      <c r="P17" s="70">
        <f>IF(K17&gt;L17,0,(L17-K17-O17))</f>
        <v>93820.2109999999</v>
      </c>
      <c r="Q17" s="8">
        <f>ROUND(P$100/M$100*M17,2)</f>
        <v>0</v>
      </c>
      <c r="R17" s="8">
        <f>ROUND(P$100/(M$100+N$100)*(M17+N17),2)</f>
        <v>0</v>
      </c>
      <c r="S17" s="88">
        <f>IF(Q17&gt;R17,R17,Q17)</f>
        <v>0</v>
      </c>
      <c r="T17" s="123" t="str">
        <f t="shared" si="10"/>
        <v>      n.s.</v>
      </c>
      <c r="U17" s="8">
        <f>+M17-S17</f>
        <v>0</v>
      </c>
      <c r="V17" s="8">
        <f>+U17</f>
        <v>0</v>
      </c>
      <c r="W17" s="69"/>
      <c r="AA17" s="54"/>
      <c r="AH17" s="54"/>
      <c r="AI17" s="54"/>
      <c r="AJ17" s="54"/>
      <c r="AK17" s="54"/>
      <c r="AL17" s="54"/>
      <c r="AM17" s="54"/>
    </row>
    <row r="18" spans="1:39" s="3" customFormat="1" ht="12.75" customHeight="1">
      <c r="A18" s="144">
        <v>150371</v>
      </c>
      <c r="B18" s="32" t="s">
        <v>17</v>
      </c>
      <c r="C18" s="33"/>
      <c r="D18" s="67">
        <v>9235050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71"/>
      <c r="K18" s="69">
        <f>+D18+E18-F18-G18-H18-I18</f>
        <v>9235050</v>
      </c>
      <c r="L18" s="72">
        <v>8700000</v>
      </c>
      <c r="M18" s="70">
        <f>IF(K18&gt;L18,(K18-L18),0)</f>
        <v>535050</v>
      </c>
      <c r="N18" s="72"/>
      <c r="O18" s="72"/>
      <c r="P18" s="70">
        <f>IF(K18&gt;L18,0,(L18-K18-O18))</f>
        <v>0</v>
      </c>
      <c r="Q18" s="8">
        <f>ROUND(P$100/M$100*M18,2)</f>
        <v>183662.37</v>
      </c>
      <c r="R18" s="8">
        <f>ROUND(P$100/(M$100+N$100)*(M18+N18),2)</f>
        <v>168718.08</v>
      </c>
      <c r="S18" s="88">
        <f>IF(Q18&gt;R18,R18,Q18)</f>
        <v>168718.08</v>
      </c>
      <c r="T18" s="124">
        <f t="shared" si="10"/>
        <v>0.3153314269694421</v>
      </c>
      <c r="U18" s="8">
        <f>+M18-S18</f>
        <v>366331.92000000004</v>
      </c>
      <c r="V18" s="8">
        <f>+U18</f>
        <v>366331.92000000004</v>
      </c>
      <c r="W18" s="72"/>
      <c r="AA18" s="54"/>
      <c r="AH18" s="54"/>
      <c r="AI18" s="54"/>
      <c r="AJ18" s="54"/>
      <c r="AK18" s="54"/>
      <c r="AL18" s="54"/>
      <c r="AM18" s="54"/>
    </row>
    <row r="19" spans="1:39" s="3" customFormat="1" ht="15.75" customHeight="1">
      <c r="A19" s="148"/>
      <c r="B19" s="26" t="s">
        <v>14</v>
      </c>
      <c r="C19" s="27"/>
      <c r="D19" s="73">
        <f aca="true" t="shared" si="11" ref="D19:U19">SUM(D14:D18)</f>
        <v>37929128.17</v>
      </c>
      <c r="E19" s="73">
        <f t="shared" si="11"/>
        <v>3333263.88</v>
      </c>
      <c r="F19" s="73">
        <f t="shared" si="11"/>
        <v>0</v>
      </c>
      <c r="G19" s="73">
        <f t="shared" si="11"/>
        <v>453346.0958</v>
      </c>
      <c r="H19" s="73">
        <f t="shared" si="11"/>
        <v>483151.20180000004</v>
      </c>
      <c r="I19" s="73">
        <f t="shared" si="11"/>
        <v>123464.49</v>
      </c>
      <c r="J19" s="74"/>
      <c r="K19" s="73">
        <f t="shared" si="11"/>
        <v>40202430.2624</v>
      </c>
      <c r="L19" s="73">
        <f t="shared" si="11"/>
        <v>39070000</v>
      </c>
      <c r="M19" s="73">
        <f t="shared" si="11"/>
        <v>1253355.0453000013</v>
      </c>
      <c r="N19" s="73">
        <f>SUM(N14:N18)</f>
        <v>0</v>
      </c>
      <c r="O19" s="73">
        <f>SUM(O14:O18)</f>
        <v>0</v>
      </c>
      <c r="P19" s="73">
        <f t="shared" si="11"/>
        <v>120924.78290000069</v>
      </c>
      <c r="Q19" s="73">
        <f t="shared" si="11"/>
        <v>430229.24</v>
      </c>
      <c r="R19" s="73">
        <f>SUM(R14:R18)</f>
        <v>395222.24</v>
      </c>
      <c r="S19" s="95">
        <f>SUM(S14:S18)</f>
        <v>395222.24</v>
      </c>
      <c r="T19" s="125">
        <f t="shared" si="10"/>
        <v>0.3153314310115536</v>
      </c>
      <c r="U19" s="73">
        <f t="shared" si="11"/>
        <v>858132.8053000013</v>
      </c>
      <c r="V19" s="73">
        <f>SUM(V14:V18)</f>
        <v>858132.8053000013</v>
      </c>
      <c r="W19" s="73">
        <f>SUM(W14:W18)</f>
        <v>0</v>
      </c>
      <c r="AA19" s="54"/>
      <c r="AH19" s="54"/>
      <c r="AI19" s="54"/>
      <c r="AJ19" s="54"/>
      <c r="AK19" s="54"/>
      <c r="AL19" s="54"/>
      <c r="AM19" s="54"/>
    </row>
    <row r="20" spans="1:23" s="3" customFormat="1" ht="6" customHeight="1">
      <c r="A20" s="148"/>
      <c r="B20" s="26"/>
      <c r="C20" s="34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98"/>
      <c r="T20" s="126"/>
      <c r="U20" s="75"/>
      <c r="V20" s="75"/>
      <c r="W20" s="75"/>
    </row>
    <row r="21" spans="1:23" s="3" customFormat="1" ht="15.75" customHeight="1">
      <c r="A21" s="147" t="s">
        <v>20</v>
      </c>
      <c r="B21" s="31"/>
      <c r="C21" s="31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97"/>
      <c r="T21" s="127"/>
      <c r="U21" s="66"/>
      <c r="V21" s="66"/>
      <c r="W21" s="66"/>
    </row>
    <row r="22" spans="1:50" s="3" customFormat="1" ht="12.75" customHeight="1">
      <c r="A22" s="144">
        <v>150014</v>
      </c>
      <c r="B22" s="32" t="s">
        <v>27</v>
      </c>
      <c r="C22" s="24" t="s">
        <v>103</v>
      </c>
      <c r="D22" s="67">
        <v>4200001.02</v>
      </c>
      <c r="E22" s="67">
        <v>960607.66</v>
      </c>
      <c r="F22" s="67">
        <v>4290.9</v>
      </c>
      <c r="G22" s="67">
        <v>66089.49</v>
      </c>
      <c r="H22" s="67">
        <v>14787.62</v>
      </c>
      <c r="I22" s="67">
        <v>16435.89</v>
      </c>
      <c r="J22" s="68"/>
      <c r="K22" s="69">
        <f aca="true" t="shared" si="12" ref="K22:K34">+D22+E22-F22-G22-H22-I22</f>
        <v>5059004.779999999</v>
      </c>
      <c r="L22" s="69">
        <v>4000000</v>
      </c>
      <c r="M22" s="70">
        <f aca="true" t="shared" si="13" ref="M22:M34">IF(K22&gt;L22,(K22-L22),0)</f>
        <v>1059004.7799999993</v>
      </c>
      <c r="N22" s="69"/>
      <c r="O22" s="69"/>
      <c r="P22" s="70">
        <f aca="true" t="shared" si="14" ref="P22:P34">IF(K22&gt;L22,0,(L22-K22-O22))</f>
        <v>0</v>
      </c>
      <c r="Q22" s="8">
        <f aca="true" t="shared" si="15" ref="Q22:Q34">ROUND(P$100/M$100*M22,2)</f>
        <v>363516.16</v>
      </c>
      <c r="R22" s="8">
        <f aca="true" t="shared" si="16" ref="R22:R34">ROUND(P$100/(M$100+N$100)*(M22+N22),2)</f>
        <v>333937.49</v>
      </c>
      <c r="S22" s="88">
        <f aca="true" t="shared" si="17" ref="S22:S34">IF(Q22&gt;R22,R22,Q22)</f>
        <v>333937.49</v>
      </c>
      <c r="T22" s="123">
        <f aca="true" t="shared" si="18" ref="T22:T35">IF(M22=0,"      n.s.",+S22/M22)</f>
        <v>0.31533142843793416</v>
      </c>
      <c r="U22" s="8">
        <f aca="true" t="shared" si="19" ref="U22:U34">+M22-S22</f>
        <v>725067.2899999993</v>
      </c>
      <c r="V22" s="8">
        <f aca="true" t="shared" si="20" ref="V22:V34">+U22</f>
        <v>725067.2899999993</v>
      </c>
      <c r="W22" s="69"/>
      <c r="X22" s="84">
        <f>ROUND((H22+G22+F22)/(D22)*E22,2)</f>
        <v>19479.29</v>
      </c>
      <c r="Y22" s="54">
        <f>+X22-I22</f>
        <v>3043.4000000000015</v>
      </c>
      <c r="Z22" s="3">
        <v>4200001.02</v>
      </c>
      <c r="AA22" s="3">
        <v>960607.66</v>
      </c>
      <c r="AB22" s="3">
        <v>4290.9</v>
      </c>
      <c r="AC22" s="3">
        <v>66089.49</v>
      </c>
      <c r="AD22" s="3">
        <v>14787.62</v>
      </c>
      <c r="AE22" s="3">
        <v>16435.89</v>
      </c>
      <c r="AF22" s="54">
        <f aca="true" t="shared" si="21" ref="AF22:AF34">+Z22-D22</f>
        <v>0</v>
      </c>
      <c r="AG22" s="54">
        <f aca="true" t="shared" si="22" ref="AG22:AG34">+AA22-E22</f>
        <v>0</v>
      </c>
      <c r="AH22" s="54">
        <f aca="true" t="shared" si="23" ref="AH22:AH34">+AB22-F22</f>
        <v>0</v>
      </c>
      <c r="AI22" s="54">
        <f aca="true" t="shared" si="24" ref="AI22:AI34">+AC22-G22</f>
        <v>0</v>
      </c>
      <c r="AJ22" s="54">
        <f aca="true" t="shared" si="25" ref="AJ22:AJ34">+AD22-H22</f>
        <v>0</v>
      </c>
      <c r="AS22" s="54"/>
      <c r="AT22" s="54"/>
      <c r="AU22" s="54"/>
      <c r="AV22" s="54"/>
      <c r="AW22" s="54"/>
      <c r="AX22" s="54"/>
    </row>
    <row r="23" spans="1:50" s="3" customFormat="1" ht="12.75" customHeight="1">
      <c r="A23" s="144">
        <v>150016</v>
      </c>
      <c r="B23" s="35" t="s">
        <v>24</v>
      </c>
      <c r="C23" s="36"/>
      <c r="D23" s="67">
        <v>12495571.74</v>
      </c>
      <c r="E23" s="67">
        <v>0</v>
      </c>
      <c r="F23" s="67">
        <v>107109.53</v>
      </c>
      <c r="G23" s="67">
        <v>355378.55</v>
      </c>
      <c r="H23" s="67">
        <v>343792.82</v>
      </c>
      <c r="I23" s="67"/>
      <c r="J23" s="68"/>
      <c r="K23" s="69">
        <f t="shared" si="12"/>
        <v>11689290.84</v>
      </c>
      <c r="L23" s="69">
        <v>12200000</v>
      </c>
      <c r="M23" s="70">
        <f t="shared" si="13"/>
        <v>0</v>
      </c>
      <c r="N23" s="69"/>
      <c r="O23" s="69"/>
      <c r="P23" s="70">
        <f t="shared" si="14"/>
        <v>510709.16000000015</v>
      </c>
      <c r="Q23" s="8">
        <f t="shared" si="15"/>
        <v>0</v>
      </c>
      <c r="R23" s="8">
        <f t="shared" si="16"/>
        <v>0</v>
      </c>
      <c r="S23" s="88">
        <f t="shared" si="17"/>
        <v>0</v>
      </c>
      <c r="T23" s="123" t="str">
        <f t="shared" si="18"/>
        <v>      n.s.</v>
      </c>
      <c r="U23" s="8">
        <f t="shared" si="19"/>
        <v>0</v>
      </c>
      <c r="V23" s="8">
        <f t="shared" si="20"/>
        <v>0</v>
      </c>
      <c r="W23" s="69"/>
      <c r="X23" s="84"/>
      <c r="Y23" s="54"/>
      <c r="Z23" s="3">
        <v>12495571.74</v>
      </c>
      <c r="AA23" s="3">
        <v>0</v>
      </c>
      <c r="AB23" s="3">
        <v>107109.53</v>
      </c>
      <c r="AC23" s="3">
        <v>355378.55</v>
      </c>
      <c r="AD23" s="3">
        <v>343792.82</v>
      </c>
      <c r="AF23" s="54">
        <f t="shared" si="21"/>
        <v>0</v>
      </c>
      <c r="AG23" s="54">
        <f t="shared" si="22"/>
        <v>0</v>
      </c>
      <c r="AH23" s="54">
        <f t="shared" si="23"/>
        <v>0</v>
      </c>
      <c r="AI23" s="54">
        <f t="shared" si="24"/>
        <v>0</v>
      </c>
      <c r="AJ23" s="54">
        <f t="shared" si="25"/>
        <v>0</v>
      </c>
      <c r="AS23" s="54"/>
      <c r="AT23" s="54"/>
      <c r="AU23" s="54"/>
      <c r="AV23" s="54"/>
      <c r="AW23" s="54"/>
      <c r="AX23" s="54"/>
    </row>
    <row r="24" spans="1:50" s="3" customFormat="1" ht="12.75" customHeight="1">
      <c r="A24" s="144">
        <v>150017</v>
      </c>
      <c r="B24" s="35" t="s">
        <v>25</v>
      </c>
      <c r="C24" s="24"/>
      <c r="D24" s="67">
        <v>1286399.61</v>
      </c>
      <c r="E24" s="50">
        <f>484473.83-484473.83</f>
        <v>0</v>
      </c>
      <c r="F24" s="67">
        <v>66637.75</v>
      </c>
      <c r="G24" s="67">
        <v>31278.23</v>
      </c>
      <c r="H24" s="67">
        <v>32291.53</v>
      </c>
      <c r="I24" s="50">
        <f>52539.89-52539.89</f>
        <v>0</v>
      </c>
      <c r="J24" s="62"/>
      <c r="K24" s="69">
        <f t="shared" si="12"/>
        <v>1156192.1</v>
      </c>
      <c r="L24" s="69">
        <v>1300000</v>
      </c>
      <c r="M24" s="70">
        <f t="shared" si="13"/>
        <v>0</v>
      </c>
      <c r="N24" s="69"/>
      <c r="O24" s="69"/>
      <c r="P24" s="70">
        <f t="shared" si="14"/>
        <v>143807.8999999999</v>
      </c>
      <c r="Q24" s="8">
        <f t="shared" si="15"/>
        <v>0</v>
      </c>
      <c r="R24" s="8">
        <f t="shared" si="16"/>
        <v>0</v>
      </c>
      <c r="S24" s="88">
        <f t="shared" si="17"/>
        <v>0</v>
      </c>
      <c r="T24" s="123" t="str">
        <f t="shared" si="18"/>
        <v>      n.s.</v>
      </c>
      <c r="U24" s="8">
        <f t="shared" si="19"/>
        <v>0</v>
      </c>
      <c r="V24" s="8">
        <f t="shared" si="20"/>
        <v>0</v>
      </c>
      <c r="W24" s="69"/>
      <c r="X24" s="84">
        <f aca="true" t="shared" si="26" ref="X24:X34">ROUND((H24+G24+F24)/(D24)*E24,2)</f>
        <v>0</v>
      </c>
      <c r="Y24" s="54">
        <f>+X24-I24</f>
        <v>0</v>
      </c>
      <c r="Z24" s="3">
        <v>1286399.61</v>
      </c>
      <c r="AA24" s="3">
        <v>484473.83</v>
      </c>
      <c r="AB24" s="3">
        <v>66637.75</v>
      </c>
      <c r="AC24" s="3">
        <v>31278.23</v>
      </c>
      <c r="AD24" s="3">
        <v>32291.53</v>
      </c>
      <c r="AE24" s="3">
        <v>52539.89</v>
      </c>
      <c r="AF24" s="54">
        <f t="shared" si="21"/>
        <v>0</v>
      </c>
      <c r="AG24" s="54">
        <f t="shared" si="22"/>
        <v>484473.83</v>
      </c>
      <c r="AH24" s="54">
        <f t="shared" si="23"/>
        <v>0</v>
      </c>
      <c r="AI24" s="54">
        <f t="shared" si="24"/>
        <v>0</v>
      </c>
      <c r="AJ24" s="54">
        <f t="shared" si="25"/>
        <v>0</v>
      </c>
      <c r="AS24" s="54"/>
      <c r="AT24" s="54"/>
      <c r="AU24" s="54"/>
      <c r="AV24" s="54"/>
      <c r="AW24" s="54"/>
      <c r="AX24" s="54"/>
    </row>
    <row r="25" spans="1:50" s="3" customFormat="1" ht="12.75" customHeight="1">
      <c r="A25" s="144">
        <v>150018</v>
      </c>
      <c r="B25" s="32" t="s">
        <v>30</v>
      </c>
      <c r="C25" s="24" t="s">
        <v>103</v>
      </c>
      <c r="D25" s="67">
        <v>3862712.2</v>
      </c>
      <c r="E25" s="67">
        <v>804716.43</v>
      </c>
      <c r="F25" s="67">
        <v>115062.52</v>
      </c>
      <c r="G25" s="67">
        <v>23756.51</v>
      </c>
      <c r="H25" s="67">
        <v>124008.61</v>
      </c>
      <c r="I25" s="67">
        <v>50720.98</v>
      </c>
      <c r="J25" s="68"/>
      <c r="K25" s="69">
        <f t="shared" si="12"/>
        <v>4353880.01</v>
      </c>
      <c r="L25" s="69">
        <v>3850000</v>
      </c>
      <c r="M25" s="70">
        <f t="shared" si="13"/>
        <v>503880.0099999998</v>
      </c>
      <c r="N25" s="69"/>
      <c r="O25" s="69"/>
      <c r="P25" s="70">
        <f t="shared" si="14"/>
        <v>0</v>
      </c>
      <c r="Q25" s="8">
        <f t="shared" si="15"/>
        <v>172962.89</v>
      </c>
      <c r="R25" s="8">
        <f t="shared" si="16"/>
        <v>158889.21</v>
      </c>
      <c r="S25" s="88">
        <f t="shared" si="17"/>
        <v>158889.21</v>
      </c>
      <c r="T25" s="123">
        <f t="shared" si="18"/>
        <v>0.3153314417057348</v>
      </c>
      <c r="U25" s="8">
        <f t="shared" si="19"/>
        <v>344990.7999999998</v>
      </c>
      <c r="V25" s="8">
        <f t="shared" si="20"/>
        <v>344990.7999999998</v>
      </c>
      <c r="W25" s="69"/>
      <c r="X25" s="84">
        <f t="shared" si="26"/>
        <v>54754.72</v>
      </c>
      <c r="Y25" s="54">
        <f>+X25-I25</f>
        <v>4033.739999999998</v>
      </c>
      <c r="Z25" s="3">
        <v>3862712.2</v>
      </c>
      <c r="AA25" s="3">
        <v>804716.43</v>
      </c>
      <c r="AB25" s="3">
        <v>115062.52</v>
      </c>
      <c r="AC25" s="3">
        <v>23756.51</v>
      </c>
      <c r="AD25" s="3">
        <v>124008.61</v>
      </c>
      <c r="AE25" s="3">
        <v>50720.98</v>
      </c>
      <c r="AF25" s="54">
        <f t="shared" si="21"/>
        <v>0</v>
      </c>
      <c r="AG25" s="54">
        <f t="shared" si="22"/>
        <v>0</v>
      </c>
      <c r="AH25" s="54">
        <f t="shared" si="23"/>
        <v>0</v>
      </c>
      <c r="AI25" s="54">
        <f t="shared" si="24"/>
        <v>0</v>
      </c>
      <c r="AJ25" s="54">
        <f t="shared" si="25"/>
        <v>0</v>
      </c>
      <c r="AS25" s="54"/>
      <c r="AT25" s="54"/>
      <c r="AU25" s="54"/>
      <c r="AV25" s="54"/>
      <c r="AW25" s="54"/>
      <c r="AX25" s="54"/>
    </row>
    <row r="26" spans="1:50" s="3" customFormat="1" ht="12.75" customHeight="1">
      <c r="A26" s="144">
        <v>150019</v>
      </c>
      <c r="B26" s="35" t="s">
        <v>82</v>
      </c>
      <c r="C26" s="24" t="s">
        <v>106</v>
      </c>
      <c r="D26" s="67">
        <v>8357637.13</v>
      </c>
      <c r="E26" s="67">
        <v>3372368.21</v>
      </c>
      <c r="F26" s="67">
        <v>0</v>
      </c>
      <c r="G26" s="67">
        <v>334548.29</v>
      </c>
      <c r="H26" s="67">
        <v>486461.55</v>
      </c>
      <c r="I26" s="67">
        <v>331284.85</v>
      </c>
      <c r="J26" s="62" t="s">
        <v>130</v>
      </c>
      <c r="K26" s="69">
        <f t="shared" si="12"/>
        <v>10577710.65</v>
      </c>
      <c r="L26" s="69">
        <v>10200000</v>
      </c>
      <c r="M26" s="70">
        <f t="shared" si="13"/>
        <v>377710.6500000004</v>
      </c>
      <c r="N26" s="69"/>
      <c r="O26" s="69"/>
      <c r="P26" s="70">
        <f t="shared" si="14"/>
        <v>0</v>
      </c>
      <c r="Q26" s="8">
        <f t="shared" si="15"/>
        <v>129653.74</v>
      </c>
      <c r="R26" s="8">
        <f t="shared" si="16"/>
        <v>119104.04</v>
      </c>
      <c r="S26" s="88">
        <f t="shared" si="17"/>
        <v>119104.04</v>
      </c>
      <c r="T26" s="123">
        <f t="shared" si="18"/>
        <v>0.31533143161306115</v>
      </c>
      <c r="U26" s="8">
        <f t="shared" si="19"/>
        <v>258606.6100000004</v>
      </c>
      <c r="V26" s="8">
        <f t="shared" si="20"/>
        <v>258606.6100000004</v>
      </c>
      <c r="W26" s="69"/>
      <c r="X26" s="84">
        <f t="shared" si="26"/>
        <v>331283.52</v>
      </c>
      <c r="Y26" s="54">
        <f>+X26-I26</f>
        <v>-1.3299999999580905</v>
      </c>
      <c r="Z26" s="3">
        <v>8357637.13</v>
      </c>
      <c r="AA26" s="3">
        <v>3372368.21</v>
      </c>
      <c r="AB26" s="3">
        <v>0</v>
      </c>
      <c r="AC26" s="3">
        <v>334548.29</v>
      </c>
      <c r="AD26" s="3">
        <v>486461.55</v>
      </c>
      <c r="AE26" s="3">
        <v>331284.85</v>
      </c>
      <c r="AF26" s="54">
        <f t="shared" si="21"/>
        <v>0</v>
      </c>
      <c r="AG26" s="54">
        <f t="shared" si="22"/>
        <v>0</v>
      </c>
      <c r="AH26" s="54">
        <f t="shared" si="23"/>
        <v>0</v>
      </c>
      <c r="AI26" s="54">
        <f t="shared" si="24"/>
        <v>0</v>
      </c>
      <c r="AJ26" s="54">
        <f t="shared" si="25"/>
        <v>0</v>
      </c>
      <c r="AS26" s="54"/>
      <c r="AT26" s="54"/>
      <c r="AU26" s="54"/>
      <c r="AV26" s="54"/>
      <c r="AW26" s="54"/>
      <c r="AX26" s="54"/>
    </row>
    <row r="27" spans="1:50" s="3" customFormat="1" ht="12.75" customHeight="1">
      <c r="A27" s="144">
        <v>150020</v>
      </c>
      <c r="B27" s="32" t="s">
        <v>29</v>
      </c>
      <c r="C27" s="33"/>
      <c r="D27" s="67">
        <v>27541267.26</v>
      </c>
      <c r="E27" s="67">
        <v>0</v>
      </c>
      <c r="F27" s="67">
        <v>1091.38</v>
      </c>
      <c r="G27" s="67">
        <v>331734.63</v>
      </c>
      <c r="H27" s="67">
        <v>155467.24</v>
      </c>
      <c r="I27" s="67"/>
      <c r="J27" s="68"/>
      <c r="K27" s="69">
        <f t="shared" si="12"/>
        <v>27052974.010000005</v>
      </c>
      <c r="L27" s="69">
        <v>25000000</v>
      </c>
      <c r="M27" s="70">
        <f t="shared" si="13"/>
        <v>2052974.0100000054</v>
      </c>
      <c r="N27" s="69"/>
      <c r="O27" s="69"/>
      <c r="P27" s="70">
        <f t="shared" si="14"/>
        <v>0</v>
      </c>
      <c r="Q27" s="8">
        <f t="shared" si="15"/>
        <v>704708.09</v>
      </c>
      <c r="R27" s="8">
        <f t="shared" si="16"/>
        <v>647367.24</v>
      </c>
      <c r="S27" s="88">
        <f t="shared" si="17"/>
        <v>647367.24</v>
      </c>
      <c r="T27" s="123">
        <f t="shared" si="18"/>
        <v>0.315331434712122</v>
      </c>
      <c r="U27" s="8">
        <f t="shared" si="19"/>
        <v>1405606.7700000054</v>
      </c>
      <c r="V27" s="8">
        <f t="shared" si="20"/>
        <v>1405606.7700000054</v>
      </c>
      <c r="W27" s="69"/>
      <c r="X27" s="84"/>
      <c r="Y27" s="54"/>
      <c r="Z27" s="3">
        <v>27541267.26</v>
      </c>
      <c r="AA27" s="3">
        <v>0</v>
      </c>
      <c r="AB27" s="3">
        <v>1091.38</v>
      </c>
      <c r="AC27" s="3">
        <v>331734.63</v>
      </c>
      <c r="AD27" s="3">
        <v>155467.24</v>
      </c>
      <c r="AF27" s="54">
        <f t="shared" si="21"/>
        <v>0</v>
      </c>
      <c r="AG27" s="54">
        <f t="shared" si="22"/>
        <v>0</v>
      </c>
      <c r="AH27" s="54">
        <f t="shared" si="23"/>
        <v>0</v>
      </c>
      <c r="AI27" s="54">
        <f t="shared" si="24"/>
        <v>0</v>
      </c>
      <c r="AJ27" s="54">
        <f t="shared" si="25"/>
        <v>0</v>
      </c>
      <c r="AS27" s="54"/>
      <c r="AT27" s="54"/>
      <c r="AU27" s="54"/>
      <c r="AV27" s="54"/>
      <c r="AW27" s="54"/>
      <c r="AX27" s="54"/>
    </row>
    <row r="28" spans="1:50" s="3" customFormat="1" ht="12.75" customHeight="1">
      <c r="A28" s="144">
        <v>150021</v>
      </c>
      <c r="B28" s="35" t="s">
        <v>83</v>
      </c>
      <c r="C28" s="24" t="s">
        <v>105</v>
      </c>
      <c r="D28" s="67">
        <v>36291340.8</v>
      </c>
      <c r="E28" s="67">
        <v>650679.59</v>
      </c>
      <c r="F28" s="67">
        <v>59660.31</v>
      </c>
      <c r="G28" s="67">
        <v>589619.34</v>
      </c>
      <c r="H28" s="67">
        <v>583360.57</v>
      </c>
      <c r="I28" s="67">
        <v>117789.41</v>
      </c>
      <c r="J28" s="68"/>
      <c r="K28" s="69">
        <f t="shared" si="12"/>
        <v>35591590.76</v>
      </c>
      <c r="L28" s="69">
        <v>31000000</v>
      </c>
      <c r="M28" s="70">
        <f t="shared" si="13"/>
        <v>4591590.759999998</v>
      </c>
      <c r="N28" s="69"/>
      <c r="O28" s="69"/>
      <c r="P28" s="70">
        <f t="shared" si="14"/>
        <v>0</v>
      </c>
      <c r="Q28" s="8">
        <f t="shared" si="15"/>
        <v>1576118.9</v>
      </c>
      <c r="R28" s="8">
        <f t="shared" si="16"/>
        <v>1447872.89</v>
      </c>
      <c r="S28" s="88">
        <f t="shared" si="17"/>
        <v>1447872.89</v>
      </c>
      <c r="T28" s="123">
        <f t="shared" si="18"/>
        <v>0.3153314321069852</v>
      </c>
      <c r="U28" s="8">
        <f t="shared" si="19"/>
        <v>3143717.8699999982</v>
      </c>
      <c r="V28" s="8">
        <f t="shared" si="20"/>
        <v>3143717.8699999982</v>
      </c>
      <c r="W28" s="69"/>
      <c r="X28" s="84">
        <f t="shared" si="26"/>
        <v>22100.42</v>
      </c>
      <c r="Y28" s="54">
        <f>+X28-I28</f>
        <v>-95688.99</v>
      </c>
      <c r="Z28" s="3">
        <v>36291340.8</v>
      </c>
      <c r="AA28" s="3">
        <v>650679.59</v>
      </c>
      <c r="AB28" s="3">
        <v>59660.31</v>
      </c>
      <c r="AC28" s="3">
        <v>589619.34</v>
      </c>
      <c r="AD28" s="3">
        <v>583360.57</v>
      </c>
      <c r="AE28" s="3">
        <v>117789.41</v>
      </c>
      <c r="AF28" s="54">
        <f t="shared" si="21"/>
        <v>0</v>
      </c>
      <c r="AG28" s="54">
        <f t="shared" si="22"/>
        <v>0</v>
      </c>
      <c r="AH28" s="54">
        <f t="shared" si="23"/>
        <v>0</v>
      </c>
      <c r="AI28" s="54">
        <f t="shared" si="24"/>
        <v>0</v>
      </c>
      <c r="AJ28" s="54">
        <f t="shared" si="25"/>
        <v>0</v>
      </c>
      <c r="AS28" s="54"/>
      <c r="AT28" s="54"/>
      <c r="AU28" s="54"/>
      <c r="AV28" s="54"/>
      <c r="AW28" s="54"/>
      <c r="AX28" s="54"/>
    </row>
    <row r="29" spans="1:50" s="3" customFormat="1" ht="12.75" customHeight="1">
      <c r="A29" s="144">
        <v>150022</v>
      </c>
      <c r="B29" s="32" t="s">
        <v>28</v>
      </c>
      <c r="C29" s="24" t="s">
        <v>103</v>
      </c>
      <c r="D29" s="67">
        <v>4835491.49</v>
      </c>
      <c r="E29" s="67">
        <v>971141.18</v>
      </c>
      <c r="F29" s="67">
        <v>1166.46</v>
      </c>
      <c r="G29" s="67">
        <v>89067.5</v>
      </c>
      <c r="H29" s="67">
        <v>106222.7</v>
      </c>
      <c r="I29" s="67">
        <v>37912.58</v>
      </c>
      <c r="J29" s="68"/>
      <c r="K29" s="69">
        <f t="shared" si="12"/>
        <v>5572263.43</v>
      </c>
      <c r="L29" s="69">
        <v>4100000</v>
      </c>
      <c r="M29" s="70">
        <f t="shared" si="13"/>
        <v>1472263.4299999997</v>
      </c>
      <c r="N29" s="69"/>
      <c r="O29" s="69"/>
      <c r="P29" s="70">
        <f t="shared" si="14"/>
        <v>0</v>
      </c>
      <c r="Q29" s="8">
        <f t="shared" si="15"/>
        <v>505372.18</v>
      </c>
      <c r="R29" s="8">
        <f t="shared" si="16"/>
        <v>464250.94</v>
      </c>
      <c r="S29" s="88">
        <f t="shared" si="17"/>
        <v>464250.94</v>
      </c>
      <c r="T29" s="123">
        <f t="shared" si="18"/>
        <v>0.3153314349457149</v>
      </c>
      <c r="U29" s="8">
        <f t="shared" si="19"/>
        <v>1008012.4899999998</v>
      </c>
      <c r="V29" s="8">
        <f t="shared" si="20"/>
        <v>1008012.4899999998</v>
      </c>
      <c r="W29" s="69"/>
      <c r="X29" s="84">
        <f t="shared" si="26"/>
        <v>39455.59</v>
      </c>
      <c r="Y29" s="54">
        <f>+X29-I29</f>
        <v>1543.0099999999948</v>
      </c>
      <c r="Z29" s="3">
        <v>4835491.49</v>
      </c>
      <c r="AA29" s="3">
        <v>971141.18</v>
      </c>
      <c r="AB29" s="3">
        <v>1166.46</v>
      </c>
      <c r="AC29" s="3">
        <v>89067.5</v>
      </c>
      <c r="AD29" s="3">
        <v>106222.7</v>
      </c>
      <c r="AE29" s="3">
        <v>37912.58</v>
      </c>
      <c r="AF29" s="54">
        <f t="shared" si="21"/>
        <v>0</v>
      </c>
      <c r="AG29" s="54">
        <f t="shared" si="22"/>
        <v>0</v>
      </c>
      <c r="AH29" s="54">
        <f t="shared" si="23"/>
        <v>0</v>
      </c>
      <c r="AI29" s="54">
        <f t="shared" si="24"/>
        <v>0</v>
      </c>
      <c r="AJ29" s="54">
        <f t="shared" si="25"/>
        <v>0</v>
      </c>
      <c r="AS29" s="54"/>
      <c r="AT29" s="54"/>
      <c r="AU29" s="54"/>
      <c r="AV29" s="54"/>
      <c r="AW29" s="54"/>
      <c r="AX29" s="54"/>
    </row>
    <row r="30" spans="1:50" s="3" customFormat="1" ht="12.75" customHeight="1">
      <c r="A30" s="144">
        <v>150023</v>
      </c>
      <c r="B30" s="35" t="s">
        <v>22</v>
      </c>
      <c r="C30" s="24" t="s">
        <v>105</v>
      </c>
      <c r="D30" s="67">
        <v>4504637.91</v>
      </c>
      <c r="E30" s="67">
        <v>757422.74</v>
      </c>
      <c r="F30" s="67">
        <v>0</v>
      </c>
      <c r="G30" s="67">
        <v>124354.06</v>
      </c>
      <c r="H30" s="67">
        <v>110924.2</v>
      </c>
      <c r="I30" s="91">
        <f>247661.42-235278.26</f>
        <v>12383.160000000003</v>
      </c>
      <c r="J30" s="62"/>
      <c r="K30" s="69">
        <f t="shared" si="12"/>
        <v>5014399.23</v>
      </c>
      <c r="L30" s="69">
        <v>3800000</v>
      </c>
      <c r="M30" s="70">
        <f t="shared" si="13"/>
        <v>1214399.2300000004</v>
      </c>
      <c r="N30" s="69"/>
      <c r="O30" s="69"/>
      <c r="P30" s="70">
        <f t="shared" si="14"/>
        <v>0</v>
      </c>
      <c r="Q30" s="8">
        <f t="shared" si="15"/>
        <v>416857.18</v>
      </c>
      <c r="R30" s="8">
        <f t="shared" si="16"/>
        <v>382938.25</v>
      </c>
      <c r="S30" s="88">
        <f t="shared" si="17"/>
        <v>382938.25</v>
      </c>
      <c r="T30" s="123">
        <f t="shared" si="18"/>
        <v>0.3153314334693706</v>
      </c>
      <c r="U30" s="8">
        <f t="shared" si="19"/>
        <v>831460.9800000004</v>
      </c>
      <c r="V30" s="8">
        <f t="shared" si="20"/>
        <v>831460.9800000004</v>
      </c>
      <c r="W30" s="69"/>
      <c r="X30" s="84"/>
      <c r="Y30" s="54"/>
      <c r="Z30" s="3">
        <v>4504637.91</v>
      </c>
      <c r="AA30" s="3">
        <v>757422.74</v>
      </c>
      <c r="AB30" s="3">
        <v>0</v>
      </c>
      <c r="AC30" s="3">
        <v>130899.06</v>
      </c>
      <c r="AD30" s="3">
        <v>116762.36</v>
      </c>
      <c r="AF30" s="54">
        <f t="shared" si="21"/>
        <v>0</v>
      </c>
      <c r="AG30" s="54">
        <f t="shared" si="22"/>
        <v>0</v>
      </c>
      <c r="AH30" s="54">
        <f t="shared" si="23"/>
        <v>0</v>
      </c>
      <c r="AI30" s="54">
        <f t="shared" si="24"/>
        <v>6545</v>
      </c>
      <c r="AJ30" s="54">
        <f t="shared" si="25"/>
        <v>5838.1600000000035</v>
      </c>
      <c r="AS30" s="54"/>
      <c r="AT30" s="54"/>
      <c r="AU30" s="54"/>
      <c r="AV30" s="54"/>
      <c r="AW30" s="54"/>
      <c r="AX30" s="54"/>
    </row>
    <row r="31" spans="1:50" s="3" customFormat="1" ht="12.75" customHeight="1">
      <c r="A31" s="144">
        <v>150024</v>
      </c>
      <c r="B31" s="35" t="s">
        <v>86</v>
      </c>
      <c r="C31" s="24"/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/>
      <c r="J31" s="68"/>
      <c r="K31" s="69">
        <f t="shared" si="12"/>
        <v>0</v>
      </c>
      <c r="L31" s="69">
        <v>400000</v>
      </c>
      <c r="M31" s="70">
        <f t="shared" si="13"/>
        <v>0</v>
      </c>
      <c r="N31" s="69"/>
      <c r="O31" s="69"/>
      <c r="P31" s="70">
        <f t="shared" si="14"/>
        <v>400000</v>
      </c>
      <c r="Q31" s="8">
        <f t="shared" si="15"/>
        <v>0</v>
      </c>
      <c r="R31" s="8">
        <f t="shared" si="16"/>
        <v>0</v>
      </c>
      <c r="S31" s="88">
        <f t="shared" si="17"/>
        <v>0</v>
      </c>
      <c r="T31" s="123" t="str">
        <f t="shared" si="18"/>
        <v>      n.s.</v>
      </c>
      <c r="U31" s="8">
        <f t="shared" si="19"/>
        <v>0</v>
      </c>
      <c r="V31" s="8">
        <f t="shared" si="20"/>
        <v>0</v>
      </c>
      <c r="W31" s="69"/>
      <c r="X31" s="84"/>
      <c r="Y31" s="54"/>
      <c r="Z31" s="3">
        <v>0</v>
      </c>
      <c r="AA31" s="3">
        <v>0</v>
      </c>
      <c r="AB31" s="3">
        <v>0</v>
      </c>
      <c r="AC31" s="3">
        <v>0</v>
      </c>
      <c r="AD31" s="3">
        <v>0</v>
      </c>
      <c r="AF31" s="54">
        <f t="shared" si="21"/>
        <v>0</v>
      </c>
      <c r="AG31" s="54">
        <f t="shared" si="22"/>
        <v>0</v>
      </c>
      <c r="AH31" s="54">
        <f t="shared" si="23"/>
        <v>0</v>
      </c>
      <c r="AI31" s="54">
        <f t="shared" si="24"/>
        <v>0</v>
      </c>
      <c r="AJ31" s="54">
        <f t="shared" si="25"/>
        <v>0</v>
      </c>
      <c r="AS31" s="54"/>
      <c r="AT31" s="54"/>
      <c r="AU31" s="54"/>
      <c r="AV31" s="54"/>
      <c r="AW31" s="54"/>
      <c r="AX31" s="54"/>
    </row>
    <row r="32" spans="1:50" s="3" customFormat="1" ht="12.75" customHeight="1">
      <c r="A32" s="144">
        <v>150025</v>
      </c>
      <c r="B32" s="32" t="s">
        <v>21</v>
      </c>
      <c r="C32" s="24" t="s">
        <v>106</v>
      </c>
      <c r="D32" s="67">
        <v>3104243.64</v>
      </c>
      <c r="E32" s="67">
        <v>1533778.72</v>
      </c>
      <c r="F32" s="67">
        <v>0</v>
      </c>
      <c r="G32" s="67">
        <v>0</v>
      </c>
      <c r="H32" s="67">
        <v>0</v>
      </c>
      <c r="I32" s="67"/>
      <c r="J32" s="68"/>
      <c r="K32" s="69">
        <f t="shared" si="12"/>
        <v>4638022.36</v>
      </c>
      <c r="L32" s="69">
        <v>3950000</v>
      </c>
      <c r="M32" s="70">
        <f t="shared" si="13"/>
        <v>688022.3600000003</v>
      </c>
      <c r="N32" s="69"/>
      <c r="O32" s="69"/>
      <c r="P32" s="70">
        <f t="shared" si="14"/>
        <v>0</v>
      </c>
      <c r="Q32" s="8">
        <f t="shared" si="15"/>
        <v>236171.97</v>
      </c>
      <c r="R32" s="8">
        <f t="shared" si="16"/>
        <v>216955.08</v>
      </c>
      <c r="S32" s="88">
        <f t="shared" si="17"/>
        <v>216955.08</v>
      </c>
      <c r="T32" s="123">
        <f t="shared" si="18"/>
        <v>0.3153314377747838</v>
      </c>
      <c r="U32" s="8">
        <f t="shared" si="19"/>
        <v>471067.2800000004</v>
      </c>
      <c r="V32" s="8">
        <f t="shared" si="20"/>
        <v>471067.2800000004</v>
      </c>
      <c r="W32" s="69"/>
      <c r="X32" s="84">
        <f t="shared" si="26"/>
        <v>0</v>
      </c>
      <c r="Y32" s="54">
        <f>+X32-I32</f>
        <v>0</v>
      </c>
      <c r="Z32" s="3">
        <v>3104243.64</v>
      </c>
      <c r="AA32" s="3">
        <v>1533778.72</v>
      </c>
      <c r="AB32" s="3">
        <v>0</v>
      </c>
      <c r="AC32" s="3">
        <v>0</v>
      </c>
      <c r="AD32" s="3">
        <v>0</v>
      </c>
      <c r="AF32" s="54">
        <f t="shared" si="21"/>
        <v>0</v>
      </c>
      <c r="AG32" s="54">
        <f t="shared" si="22"/>
        <v>0</v>
      </c>
      <c r="AH32" s="54">
        <f t="shared" si="23"/>
        <v>0</v>
      </c>
      <c r="AI32" s="54">
        <f t="shared" si="24"/>
        <v>0</v>
      </c>
      <c r="AJ32" s="54">
        <f t="shared" si="25"/>
        <v>0</v>
      </c>
      <c r="AS32" s="54"/>
      <c r="AT32" s="54"/>
      <c r="AU32" s="54"/>
      <c r="AV32" s="54"/>
      <c r="AW32" s="54"/>
      <c r="AX32" s="54"/>
    </row>
    <row r="33" spans="1:50" s="3" customFormat="1" ht="12.75" customHeight="1">
      <c r="A33" s="144">
        <v>150028</v>
      </c>
      <c r="B33" s="35" t="s">
        <v>23</v>
      </c>
      <c r="C33" s="36"/>
      <c r="D33" s="67">
        <v>11756557.01</v>
      </c>
      <c r="E33" s="67">
        <v>0</v>
      </c>
      <c r="F33" s="67">
        <v>0</v>
      </c>
      <c r="G33" s="67">
        <v>23032.51</v>
      </c>
      <c r="H33" s="67">
        <v>50956.93</v>
      </c>
      <c r="I33" s="67"/>
      <c r="J33" s="68"/>
      <c r="K33" s="69">
        <f t="shared" si="12"/>
        <v>11682567.57</v>
      </c>
      <c r="L33" s="72">
        <v>11900000</v>
      </c>
      <c r="M33" s="70">
        <f t="shared" si="13"/>
        <v>0</v>
      </c>
      <c r="N33" s="69"/>
      <c r="O33" s="69"/>
      <c r="P33" s="70">
        <f t="shared" si="14"/>
        <v>217432.4299999997</v>
      </c>
      <c r="Q33" s="8">
        <f t="shared" si="15"/>
        <v>0</v>
      </c>
      <c r="R33" s="8">
        <f t="shared" si="16"/>
        <v>0</v>
      </c>
      <c r="S33" s="88">
        <f t="shared" si="17"/>
        <v>0</v>
      </c>
      <c r="T33" s="123" t="str">
        <f t="shared" si="18"/>
        <v>      n.s.</v>
      </c>
      <c r="U33" s="8">
        <f t="shared" si="19"/>
        <v>0</v>
      </c>
      <c r="V33" s="8">
        <f t="shared" si="20"/>
        <v>0</v>
      </c>
      <c r="W33" s="69"/>
      <c r="X33" s="84"/>
      <c r="Y33" s="54"/>
      <c r="Z33" s="3">
        <v>11756557.01</v>
      </c>
      <c r="AA33" s="3">
        <v>0</v>
      </c>
      <c r="AB33" s="3">
        <v>0</v>
      </c>
      <c r="AC33" s="3">
        <v>23032.51</v>
      </c>
      <c r="AD33" s="3">
        <v>50956.93</v>
      </c>
      <c r="AF33" s="54">
        <f t="shared" si="21"/>
        <v>0</v>
      </c>
      <c r="AG33" s="54">
        <f t="shared" si="22"/>
        <v>0</v>
      </c>
      <c r="AH33" s="54">
        <f t="shared" si="23"/>
        <v>0</v>
      </c>
      <c r="AI33" s="54">
        <f t="shared" si="24"/>
        <v>0</v>
      </c>
      <c r="AJ33" s="54">
        <f t="shared" si="25"/>
        <v>0</v>
      </c>
      <c r="AS33" s="54"/>
      <c r="AT33" s="54"/>
      <c r="AU33" s="54"/>
      <c r="AV33" s="54"/>
      <c r="AW33" s="54"/>
      <c r="AX33" s="54"/>
    </row>
    <row r="34" spans="1:50" s="3" customFormat="1" ht="12.75" customHeight="1">
      <c r="A34" s="144">
        <v>150423</v>
      </c>
      <c r="B34" s="32" t="s">
        <v>26</v>
      </c>
      <c r="C34" s="24" t="s">
        <v>105</v>
      </c>
      <c r="D34" s="67">
        <v>8201307.84</v>
      </c>
      <c r="E34" s="67">
        <v>1216194.36</v>
      </c>
      <c r="F34" s="67">
        <v>0</v>
      </c>
      <c r="G34" s="67">
        <v>108694.15</v>
      </c>
      <c r="H34" s="67">
        <v>827840.79</v>
      </c>
      <c r="I34" s="67">
        <v>165271.25</v>
      </c>
      <c r="J34" s="71"/>
      <c r="K34" s="69">
        <f t="shared" si="12"/>
        <v>8315696.009999998</v>
      </c>
      <c r="L34" s="72">
        <v>8500000</v>
      </c>
      <c r="M34" s="70">
        <f t="shared" si="13"/>
        <v>0</v>
      </c>
      <c r="N34" s="72"/>
      <c r="O34" s="72"/>
      <c r="P34" s="70">
        <f t="shared" si="14"/>
        <v>184303.9900000021</v>
      </c>
      <c r="Q34" s="8">
        <f t="shared" si="15"/>
        <v>0</v>
      </c>
      <c r="R34" s="8">
        <f t="shared" si="16"/>
        <v>0</v>
      </c>
      <c r="S34" s="88">
        <f t="shared" si="17"/>
        <v>0</v>
      </c>
      <c r="T34" s="124" t="str">
        <f t="shared" si="18"/>
        <v>      n.s.</v>
      </c>
      <c r="U34" s="8">
        <f t="shared" si="19"/>
        <v>0</v>
      </c>
      <c r="V34" s="8">
        <f t="shared" si="20"/>
        <v>0</v>
      </c>
      <c r="W34" s="72"/>
      <c r="X34" s="84">
        <f t="shared" si="26"/>
        <v>138881.33</v>
      </c>
      <c r="Y34" s="54">
        <f>+X34-I34</f>
        <v>-26389.920000000013</v>
      </c>
      <c r="Z34" s="3">
        <v>8201307.84</v>
      </c>
      <c r="AA34" s="3">
        <v>1216194.36</v>
      </c>
      <c r="AB34" s="3">
        <v>0</v>
      </c>
      <c r="AC34" s="3">
        <v>108694.15</v>
      </c>
      <c r="AD34" s="3">
        <v>827840.79</v>
      </c>
      <c r="AE34" s="3">
        <v>165271.25</v>
      </c>
      <c r="AF34" s="54">
        <f t="shared" si="21"/>
        <v>0</v>
      </c>
      <c r="AG34" s="54">
        <f t="shared" si="22"/>
        <v>0</v>
      </c>
      <c r="AH34" s="54">
        <f t="shared" si="23"/>
        <v>0</v>
      </c>
      <c r="AI34" s="54">
        <f t="shared" si="24"/>
        <v>0</v>
      </c>
      <c r="AJ34" s="54">
        <f t="shared" si="25"/>
        <v>0</v>
      </c>
      <c r="AS34" s="54"/>
      <c r="AT34" s="54"/>
      <c r="AU34" s="54"/>
      <c r="AV34" s="54"/>
      <c r="AW34" s="54"/>
      <c r="AX34" s="54"/>
    </row>
    <row r="35" spans="1:50" s="3" customFormat="1" ht="15.75" customHeight="1">
      <c r="A35" s="149"/>
      <c r="B35" s="26" t="s">
        <v>14</v>
      </c>
      <c r="C35" s="27"/>
      <c r="D35" s="73">
        <f aca="true" t="shared" si="27" ref="D35:U35">SUM(D22:D34)</f>
        <v>126437167.64999999</v>
      </c>
      <c r="E35" s="73">
        <f t="shared" si="27"/>
        <v>10266908.889999999</v>
      </c>
      <c r="F35" s="73">
        <f t="shared" si="27"/>
        <v>355018.85000000003</v>
      </c>
      <c r="G35" s="73">
        <f t="shared" si="27"/>
        <v>2077553.26</v>
      </c>
      <c r="H35" s="73">
        <f t="shared" si="27"/>
        <v>2836114.5599999996</v>
      </c>
      <c r="I35" s="73">
        <f t="shared" si="27"/>
        <v>731798.12</v>
      </c>
      <c r="J35" s="74"/>
      <c r="K35" s="73">
        <f t="shared" si="27"/>
        <v>130703591.75</v>
      </c>
      <c r="L35" s="73">
        <f t="shared" si="27"/>
        <v>120200000</v>
      </c>
      <c r="M35" s="73">
        <f t="shared" si="27"/>
        <v>11959845.230000004</v>
      </c>
      <c r="N35" s="73">
        <f>SUM(N22:N34)</f>
        <v>0</v>
      </c>
      <c r="O35" s="73">
        <f>SUM(O22:O34)</f>
        <v>0</v>
      </c>
      <c r="P35" s="73">
        <f t="shared" si="27"/>
        <v>1456253.4800000018</v>
      </c>
      <c r="Q35" s="73">
        <f t="shared" si="27"/>
        <v>4105361.1100000003</v>
      </c>
      <c r="R35" s="73">
        <f>SUM(R22:R34)</f>
        <v>3771315.14</v>
      </c>
      <c r="S35" s="95">
        <f>SUM(S22:S34)</f>
        <v>3771315.14</v>
      </c>
      <c r="T35" s="125">
        <f t="shared" si="18"/>
        <v>0.3153314334319357</v>
      </c>
      <c r="U35" s="73">
        <f t="shared" si="27"/>
        <v>8188530.0900000045</v>
      </c>
      <c r="V35" s="73">
        <f>SUM(V22:V34)</f>
        <v>8188530.0900000045</v>
      </c>
      <c r="W35" s="73">
        <f>SUM(W22:W34)</f>
        <v>0</v>
      </c>
      <c r="AS35" s="54"/>
      <c r="AT35" s="54"/>
      <c r="AU35" s="54"/>
      <c r="AV35" s="54"/>
      <c r="AW35" s="54"/>
      <c r="AX35" s="54"/>
    </row>
    <row r="36" spans="1:23" s="3" customFormat="1" ht="6" customHeight="1">
      <c r="A36" s="148"/>
      <c r="B36" s="26"/>
      <c r="C36" s="3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98"/>
      <c r="T36" s="126"/>
      <c r="U36" s="75"/>
      <c r="V36" s="75"/>
      <c r="W36" s="75"/>
    </row>
    <row r="37" spans="1:23" s="3" customFormat="1" ht="15.75" customHeight="1">
      <c r="A37" s="147" t="s">
        <v>31</v>
      </c>
      <c r="B37" s="37"/>
      <c r="C37" s="38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97"/>
      <c r="T37" s="127"/>
      <c r="U37" s="66"/>
      <c r="V37" s="66"/>
      <c r="W37" s="66"/>
    </row>
    <row r="38" spans="1:36" s="3" customFormat="1" ht="12.75" customHeight="1">
      <c r="A38" s="144">
        <v>150075</v>
      </c>
      <c r="B38" s="26" t="s">
        <v>39</v>
      </c>
      <c r="C38" s="24" t="s">
        <v>105</v>
      </c>
      <c r="D38" s="67">
        <v>4857983.25</v>
      </c>
      <c r="E38" s="67">
        <v>879054.15</v>
      </c>
      <c r="F38" s="67">
        <v>255.24</v>
      </c>
      <c r="G38" s="50">
        <v>695.556</v>
      </c>
      <c r="H38" s="67">
        <v>107291.3</v>
      </c>
      <c r="I38" s="50">
        <v>19586.45</v>
      </c>
      <c r="J38" s="62" t="s">
        <v>116</v>
      </c>
      <c r="K38" s="69">
        <f aca="true" t="shared" si="28" ref="K38:K53">+D38+E38-F38-G38-H38-I38</f>
        <v>5609208.854</v>
      </c>
      <c r="L38" s="69">
        <v>4500000</v>
      </c>
      <c r="M38" s="70">
        <f aca="true" t="shared" si="29" ref="M38:M53">IF(K38&gt;L38,(K38-L38),0)</f>
        <v>1109208.8540000003</v>
      </c>
      <c r="N38" s="69"/>
      <c r="O38" s="69"/>
      <c r="P38" s="70">
        <f aca="true" t="shared" si="30" ref="P38:P49">IF(K38&gt;L38,0,(L38-K38-O38))</f>
        <v>0</v>
      </c>
      <c r="Q38" s="8">
        <f aca="true" t="shared" si="31" ref="Q38:Q53">ROUND(P$100/M$100*M38,2)</f>
        <v>380749.32</v>
      </c>
      <c r="R38" s="8">
        <f aca="true" t="shared" si="32" ref="R38:R53">ROUND(P$100/(M$100+N$100)*(M38+N38),2)</f>
        <v>349768.42</v>
      </c>
      <c r="S38" s="88">
        <f aca="true" t="shared" si="33" ref="S38:S53">IF(Q38&gt;R38,R38,Q38)</f>
        <v>349768.42</v>
      </c>
      <c r="T38" s="123">
        <f aca="true" t="shared" si="34" ref="T38:T54">IF(M38=0,"      n.s.",+S38/M38)</f>
        <v>0.3153314353186725</v>
      </c>
      <c r="U38" s="8">
        <f aca="true" t="shared" si="35" ref="U38:U53">+M38-S38</f>
        <v>759440.4340000004</v>
      </c>
      <c r="V38" s="8">
        <f aca="true" t="shared" si="36" ref="V38:V53">+U38</f>
        <v>759440.4340000004</v>
      </c>
      <c r="W38" s="69"/>
      <c r="X38" s="84">
        <f>ROUND((H38+G38+F38)/(D38)*E38,2)</f>
        <v>19586.45</v>
      </c>
      <c r="Y38" s="54">
        <f>+X38-I38</f>
        <v>0</v>
      </c>
      <c r="AE38" s="54"/>
      <c r="AF38" s="54"/>
      <c r="AG38" s="54"/>
      <c r="AH38" s="54"/>
      <c r="AI38" s="54"/>
      <c r="AJ38" s="54"/>
    </row>
    <row r="39" spans="1:36" s="3" customFormat="1" ht="12.75" customHeight="1">
      <c r="A39" s="144">
        <v>150076</v>
      </c>
      <c r="B39" s="32" t="s">
        <v>85</v>
      </c>
      <c r="C39" s="33"/>
      <c r="D39" s="67">
        <v>1140238.12</v>
      </c>
      <c r="E39" s="67"/>
      <c r="F39" s="67">
        <v>18992</v>
      </c>
      <c r="G39" s="50">
        <v>7200.522</v>
      </c>
      <c r="H39" s="67">
        <v>116347.92</v>
      </c>
      <c r="I39" s="67"/>
      <c r="J39" s="68"/>
      <c r="K39" s="69">
        <f t="shared" si="28"/>
        <v>997697.678</v>
      </c>
      <c r="L39" s="69">
        <v>1000000</v>
      </c>
      <c r="M39" s="70">
        <f t="shared" si="29"/>
        <v>0</v>
      </c>
      <c r="N39" s="8"/>
      <c r="O39" s="8"/>
      <c r="P39" s="70">
        <f t="shared" si="30"/>
        <v>2302.3220000000438</v>
      </c>
      <c r="Q39" s="8">
        <f t="shared" si="31"/>
        <v>0</v>
      </c>
      <c r="R39" s="8">
        <f t="shared" si="32"/>
        <v>0</v>
      </c>
      <c r="S39" s="88">
        <f t="shared" si="33"/>
        <v>0</v>
      </c>
      <c r="T39" s="123" t="str">
        <f t="shared" si="34"/>
        <v>      n.s.</v>
      </c>
      <c r="U39" s="8">
        <f t="shared" si="35"/>
        <v>0</v>
      </c>
      <c r="V39" s="8">
        <f t="shared" si="36"/>
        <v>0</v>
      </c>
      <c r="W39" s="8"/>
      <c r="AE39" s="54"/>
      <c r="AF39" s="54"/>
      <c r="AG39" s="54"/>
      <c r="AH39" s="54"/>
      <c r="AI39" s="54"/>
      <c r="AJ39" s="54"/>
    </row>
    <row r="40" spans="1:36" s="3" customFormat="1" ht="12.75" customHeight="1">
      <c r="A40" s="144">
        <v>150078</v>
      </c>
      <c r="B40" s="32" t="s">
        <v>34</v>
      </c>
      <c r="C40" s="33"/>
      <c r="D40" s="67">
        <v>11849247.43</v>
      </c>
      <c r="E40" s="67"/>
      <c r="F40" s="67"/>
      <c r="G40" s="50">
        <v>0</v>
      </c>
      <c r="H40" s="67">
        <v>0</v>
      </c>
      <c r="I40" s="67"/>
      <c r="J40" s="62" t="s">
        <v>118</v>
      </c>
      <c r="K40" s="69">
        <f t="shared" si="28"/>
        <v>11849247.43</v>
      </c>
      <c r="L40" s="69">
        <v>12400000</v>
      </c>
      <c r="M40" s="70">
        <f t="shared" si="29"/>
        <v>0</v>
      </c>
      <c r="N40" s="8"/>
      <c r="O40" s="8"/>
      <c r="P40" s="70">
        <f t="shared" si="30"/>
        <v>550752.5700000003</v>
      </c>
      <c r="Q40" s="8">
        <f t="shared" si="31"/>
        <v>0</v>
      </c>
      <c r="R40" s="8">
        <f t="shared" si="32"/>
        <v>0</v>
      </c>
      <c r="S40" s="88">
        <f t="shared" si="33"/>
        <v>0</v>
      </c>
      <c r="T40" s="123" t="str">
        <f t="shared" si="34"/>
        <v>      n.s.</v>
      </c>
      <c r="U40" s="8">
        <f t="shared" si="35"/>
        <v>0</v>
      </c>
      <c r="V40" s="8">
        <f t="shared" si="36"/>
        <v>0</v>
      </c>
      <c r="W40" s="8"/>
      <c r="AE40" s="54"/>
      <c r="AF40" s="54"/>
      <c r="AG40" s="54"/>
      <c r="AH40" s="54"/>
      <c r="AI40" s="54"/>
      <c r="AJ40" s="54"/>
    </row>
    <row r="41" spans="1:37" s="3" customFormat="1" ht="12.75" customHeight="1">
      <c r="A41" s="144">
        <v>150079</v>
      </c>
      <c r="B41" s="35" t="s">
        <v>32</v>
      </c>
      <c r="C41" s="36"/>
      <c r="D41" s="67">
        <v>1962822.03</v>
      </c>
      <c r="E41" s="67"/>
      <c r="F41" s="67">
        <v>0</v>
      </c>
      <c r="G41" s="50">
        <v>0</v>
      </c>
      <c r="H41" s="67">
        <v>510.19</v>
      </c>
      <c r="I41" s="67"/>
      <c r="J41" s="68" t="s">
        <v>119</v>
      </c>
      <c r="K41" s="69">
        <f t="shared" si="28"/>
        <v>1962311.84</v>
      </c>
      <c r="L41" s="69">
        <v>1950000</v>
      </c>
      <c r="M41" s="70">
        <f t="shared" si="29"/>
        <v>12311.840000000084</v>
      </c>
      <c r="N41" s="8">
        <v>908645.01</v>
      </c>
      <c r="O41" s="8"/>
      <c r="P41" s="70">
        <f t="shared" si="30"/>
        <v>0</v>
      </c>
      <c r="Q41" s="8">
        <f t="shared" si="31"/>
        <v>4226.19</v>
      </c>
      <c r="R41" s="8">
        <f t="shared" si="32"/>
        <v>290406.64</v>
      </c>
      <c r="S41" s="88">
        <f t="shared" si="33"/>
        <v>4226.19</v>
      </c>
      <c r="T41" s="123">
        <f t="shared" si="34"/>
        <v>0.3432622581190115</v>
      </c>
      <c r="U41" s="8">
        <f t="shared" si="35"/>
        <v>8085.650000000084</v>
      </c>
      <c r="V41" s="89">
        <f t="shared" si="36"/>
        <v>8085.650000000084</v>
      </c>
      <c r="W41" s="88">
        <f>84636.28+72640.29+73161.39+64990.78+88400.37+77330.07+71072.78+73048.53+79363.39+67686.53+66797.2+76599.86+79604.78+893495.11+908645.01</f>
        <v>2777472.37</v>
      </c>
      <c r="X41" s="90"/>
      <c r="Y41" s="90"/>
      <c r="AE41" s="54"/>
      <c r="AF41" s="54"/>
      <c r="AG41" s="54"/>
      <c r="AH41" s="54"/>
      <c r="AI41" s="54"/>
      <c r="AJ41" s="54"/>
      <c r="AK41" s="49" t="s">
        <v>133</v>
      </c>
    </row>
    <row r="42" spans="1:36" s="3" customFormat="1" ht="12.75" customHeight="1">
      <c r="A42" s="144">
        <v>150081</v>
      </c>
      <c r="B42" s="32" t="s">
        <v>35</v>
      </c>
      <c r="C42" s="33"/>
      <c r="D42" s="67">
        <v>20182151.409999996</v>
      </c>
      <c r="E42" s="67"/>
      <c r="F42" s="67">
        <v>0</v>
      </c>
      <c r="G42" s="50">
        <v>0</v>
      </c>
      <c r="H42" s="67">
        <v>291411.2</v>
      </c>
      <c r="I42" s="67"/>
      <c r="J42" s="68"/>
      <c r="K42" s="69">
        <f t="shared" si="28"/>
        <v>19890740.209999997</v>
      </c>
      <c r="L42" s="69">
        <v>19600000</v>
      </c>
      <c r="M42" s="70">
        <f t="shared" si="29"/>
        <v>290740.20999999717</v>
      </c>
      <c r="N42" s="8"/>
      <c r="O42" s="8"/>
      <c r="P42" s="70">
        <f t="shared" si="30"/>
        <v>0</v>
      </c>
      <c r="Q42" s="8">
        <f t="shared" si="31"/>
        <v>99800.08</v>
      </c>
      <c r="R42" s="8">
        <f t="shared" si="32"/>
        <v>91679.53</v>
      </c>
      <c r="S42" s="88">
        <f t="shared" si="33"/>
        <v>91679.53</v>
      </c>
      <c r="T42" s="123">
        <f t="shared" si="34"/>
        <v>0.3153314431464464</v>
      </c>
      <c r="U42" s="8">
        <f t="shared" si="35"/>
        <v>199060.67999999717</v>
      </c>
      <c r="V42" s="8">
        <f t="shared" si="36"/>
        <v>199060.67999999717</v>
      </c>
      <c r="W42" s="8"/>
      <c r="AE42" s="54"/>
      <c r="AF42" s="54"/>
      <c r="AG42" s="54"/>
      <c r="AH42" s="54"/>
      <c r="AI42" s="54"/>
      <c r="AJ42" s="54"/>
    </row>
    <row r="43" spans="1:36" s="3" customFormat="1" ht="12.75" customHeight="1">
      <c r="A43" s="144">
        <v>150086</v>
      </c>
      <c r="B43" s="26" t="s">
        <v>87</v>
      </c>
      <c r="C43" s="24"/>
      <c r="D43" s="67">
        <f>5121522.69+1128068.04</f>
        <v>6249590.73</v>
      </c>
      <c r="E43" s="67"/>
      <c r="F43" s="67">
        <v>148398.28</v>
      </c>
      <c r="G43" s="50">
        <v>0</v>
      </c>
      <c r="H43" s="67">
        <v>131825.35</v>
      </c>
      <c r="I43" s="67"/>
      <c r="J43" s="68"/>
      <c r="K43" s="69">
        <f t="shared" si="28"/>
        <v>5969367.100000001</v>
      </c>
      <c r="L43" s="69">
        <v>8000000</v>
      </c>
      <c r="M43" s="70">
        <f t="shared" si="29"/>
        <v>0</v>
      </c>
      <c r="N43" s="69"/>
      <c r="O43" s="69"/>
      <c r="P43" s="70">
        <f t="shared" si="30"/>
        <v>2030632.8999999994</v>
      </c>
      <c r="Q43" s="8">
        <f t="shared" si="31"/>
        <v>0</v>
      </c>
      <c r="R43" s="8">
        <f t="shared" si="32"/>
        <v>0</v>
      </c>
      <c r="S43" s="88">
        <f t="shared" si="33"/>
        <v>0</v>
      </c>
      <c r="T43" s="123" t="str">
        <f t="shared" si="34"/>
        <v>      n.s.</v>
      </c>
      <c r="U43" s="8">
        <f t="shared" si="35"/>
        <v>0</v>
      </c>
      <c r="V43" s="8">
        <f t="shared" si="36"/>
        <v>0</v>
      </c>
      <c r="W43" s="69"/>
      <c r="AE43" s="54"/>
      <c r="AF43" s="54"/>
      <c r="AG43" s="54"/>
      <c r="AH43" s="54"/>
      <c r="AI43" s="54"/>
      <c r="AJ43" s="54"/>
    </row>
    <row r="44" spans="1:234" s="4" customFormat="1" ht="12.75" customHeight="1">
      <c r="A44" s="144">
        <v>150088</v>
      </c>
      <c r="B44" s="32" t="s">
        <v>104</v>
      </c>
      <c r="C44" s="24" t="s">
        <v>105</v>
      </c>
      <c r="D44" s="67">
        <v>5631115.32</v>
      </c>
      <c r="E44" s="50">
        <v>910915</v>
      </c>
      <c r="F44" s="67"/>
      <c r="G44" s="50">
        <v>0</v>
      </c>
      <c r="H44" s="67">
        <v>230511.44</v>
      </c>
      <c r="I44" s="91">
        <f>910915-873658.58</f>
        <v>37256.42000000004</v>
      </c>
      <c r="J44" s="62" t="s">
        <v>115</v>
      </c>
      <c r="K44" s="69">
        <f t="shared" si="28"/>
        <v>6274262.46</v>
      </c>
      <c r="L44" s="69">
        <v>5300000</v>
      </c>
      <c r="M44" s="70">
        <f t="shared" si="29"/>
        <v>974262.46</v>
      </c>
      <c r="N44" s="69"/>
      <c r="O44" s="69"/>
      <c r="P44" s="70">
        <f t="shared" si="30"/>
        <v>0</v>
      </c>
      <c r="Q44" s="8">
        <f t="shared" si="31"/>
        <v>334427.34</v>
      </c>
      <c r="R44" s="8">
        <f t="shared" si="32"/>
        <v>307215.58</v>
      </c>
      <c r="S44" s="88">
        <f t="shared" si="33"/>
        <v>307215.58</v>
      </c>
      <c r="T44" s="123">
        <f t="shared" si="34"/>
        <v>0.31533143543270675</v>
      </c>
      <c r="U44" s="8">
        <f t="shared" si="35"/>
        <v>667046.8799999999</v>
      </c>
      <c r="V44" s="8">
        <f t="shared" si="36"/>
        <v>667046.8799999999</v>
      </c>
      <c r="W44" s="69"/>
      <c r="X44" s="84">
        <f>ROUND((H44+G44+F44)/(D44)*E44,2)</f>
        <v>37288.59</v>
      </c>
      <c r="Y44" s="54">
        <f>+X44-I44</f>
        <v>32.1699999999546</v>
      </c>
      <c r="AE44" s="54"/>
      <c r="AF44" s="54"/>
      <c r="AG44" s="54"/>
      <c r="AH44" s="54"/>
      <c r="AI44" s="54"/>
      <c r="AJ44" s="54"/>
      <c r="HS44" s="3"/>
      <c r="HT44" s="3"/>
      <c r="HU44" s="3"/>
      <c r="HV44" s="3"/>
      <c r="HW44" s="3"/>
      <c r="HX44" s="3"/>
      <c r="HY44" s="3"/>
      <c r="HZ44" s="3"/>
    </row>
    <row r="45" spans="1:36" s="3" customFormat="1" ht="12.75" customHeight="1">
      <c r="A45" s="144">
        <v>150092</v>
      </c>
      <c r="B45" s="26" t="s">
        <v>37</v>
      </c>
      <c r="C45" s="39"/>
      <c r="D45" s="67">
        <v>7751621.850000001</v>
      </c>
      <c r="E45" s="67"/>
      <c r="F45" s="67">
        <v>7.48</v>
      </c>
      <c r="G45" s="50">
        <v>78671.63</v>
      </c>
      <c r="H45" s="67">
        <v>58892.78</v>
      </c>
      <c r="I45" s="67"/>
      <c r="J45" s="68"/>
      <c r="K45" s="69">
        <f t="shared" si="28"/>
        <v>7614049.96</v>
      </c>
      <c r="L45" s="69">
        <v>7000000</v>
      </c>
      <c r="M45" s="70">
        <f t="shared" si="29"/>
        <v>614049.96</v>
      </c>
      <c r="N45" s="69"/>
      <c r="O45" s="69"/>
      <c r="P45" s="70">
        <f t="shared" si="30"/>
        <v>0</v>
      </c>
      <c r="Q45" s="8">
        <f t="shared" si="31"/>
        <v>210780.05</v>
      </c>
      <c r="R45" s="8">
        <f t="shared" si="32"/>
        <v>193629.25</v>
      </c>
      <c r="S45" s="88">
        <f t="shared" si="33"/>
        <v>193629.25</v>
      </c>
      <c r="T45" s="123">
        <f t="shared" si="34"/>
        <v>0.31533142677836834</v>
      </c>
      <c r="U45" s="8">
        <f t="shared" si="35"/>
        <v>420420.70999999996</v>
      </c>
      <c r="V45" s="8">
        <f t="shared" si="36"/>
        <v>420420.70999999996</v>
      </c>
      <c r="W45" s="69"/>
      <c r="AE45" s="54"/>
      <c r="AF45" s="54"/>
      <c r="AG45" s="54"/>
      <c r="AH45" s="54"/>
      <c r="AI45" s="54"/>
      <c r="AJ45" s="54"/>
    </row>
    <row r="46" spans="1:234" s="4" customFormat="1" ht="12.75" customHeight="1">
      <c r="A46" s="144">
        <v>150094</v>
      </c>
      <c r="B46" s="32" t="s">
        <v>44</v>
      </c>
      <c r="C46" s="24"/>
      <c r="D46" s="67">
        <v>1518212.03</v>
      </c>
      <c r="E46" s="67"/>
      <c r="F46" s="67">
        <v>19.91</v>
      </c>
      <c r="G46" s="50">
        <v>39236.98</v>
      </c>
      <c r="H46" s="67">
        <v>10799.29</v>
      </c>
      <c r="I46" s="67"/>
      <c r="J46" s="68"/>
      <c r="K46" s="69">
        <f t="shared" si="28"/>
        <v>1468155.85</v>
      </c>
      <c r="L46" s="69">
        <v>1700000</v>
      </c>
      <c r="M46" s="70">
        <f t="shared" si="29"/>
        <v>0</v>
      </c>
      <c r="N46" s="69"/>
      <c r="O46" s="69"/>
      <c r="P46" s="70">
        <f t="shared" si="30"/>
        <v>231844.1499999999</v>
      </c>
      <c r="Q46" s="8">
        <f t="shared" si="31"/>
        <v>0</v>
      </c>
      <c r="R46" s="8">
        <f t="shared" si="32"/>
        <v>0</v>
      </c>
      <c r="S46" s="88">
        <f t="shared" si="33"/>
        <v>0</v>
      </c>
      <c r="T46" s="123" t="str">
        <f t="shared" si="34"/>
        <v>      n.s.</v>
      </c>
      <c r="U46" s="8">
        <f t="shared" si="35"/>
        <v>0</v>
      </c>
      <c r="V46" s="8">
        <f t="shared" si="36"/>
        <v>0</v>
      </c>
      <c r="W46" s="69"/>
      <c r="AE46" s="54"/>
      <c r="AF46" s="54"/>
      <c r="AG46" s="54"/>
      <c r="AH46" s="54"/>
      <c r="AI46" s="54"/>
      <c r="AJ46" s="54"/>
      <c r="HS46" s="3"/>
      <c r="HT46" s="3"/>
      <c r="HU46" s="3"/>
      <c r="HV46" s="3"/>
      <c r="HW46" s="3"/>
      <c r="HX46" s="3"/>
      <c r="HY46" s="3"/>
      <c r="HZ46" s="3"/>
    </row>
    <row r="47" spans="1:36" s="3" customFormat="1" ht="12.75" customHeight="1">
      <c r="A47" s="144">
        <v>150095</v>
      </c>
      <c r="B47" s="32" t="s">
        <v>38</v>
      </c>
      <c r="C47" s="33"/>
      <c r="D47" s="67">
        <v>35859462.02</v>
      </c>
      <c r="E47" s="67"/>
      <c r="F47" s="67">
        <v>0</v>
      </c>
      <c r="G47" s="50">
        <v>50274.18</v>
      </c>
      <c r="H47" s="67">
        <v>18289.68</v>
      </c>
      <c r="I47" s="67"/>
      <c r="J47" s="92"/>
      <c r="K47" s="69">
        <f t="shared" si="28"/>
        <v>35790898.160000004</v>
      </c>
      <c r="L47" s="69">
        <v>35600000</v>
      </c>
      <c r="M47" s="70">
        <f t="shared" si="29"/>
        <v>190898.16000000387</v>
      </c>
      <c r="N47" s="69"/>
      <c r="O47" s="69"/>
      <c r="P47" s="70">
        <f t="shared" si="30"/>
        <v>0</v>
      </c>
      <c r="Q47" s="8">
        <f t="shared" si="31"/>
        <v>65528.1</v>
      </c>
      <c r="R47" s="8">
        <f t="shared" si="32"/>
        <v>60196.19</v>
      </c>
      <c r="S47" s="88">
        <f t="shared" si="33"/>
        <v>60196.19</v>
      </c>
      <c r="T47" s="123">
        <f t="shared" si="34"/>
        <v>0.31533143116727147</v>
      </c>
      <c r="U47" s="8">
        <f t="shared" si="35"/>
        <v>130701.97000000387</v>
      </c>
      <c r="V47" s="8">
        <f t="shared" si="36"/>
        <v>130701.97000000387</v>
      </c>
      <c r="W47" s="69"/>
      <c r="AE47" s="54"/>
      <c r="AF47" s="54"/>
      <c r="AG47" s="54"/>
      <c r="AH47" s="54"/>
      <c r="AI47" s="54"/>
      <c r="AJ47" s="54"/>
    </row>
    <row r="48" spans="1:234" s="4" customFormat="1" ht="12.75" customHeight="1">
      <c r="A48" s="144">
        <v>150099</v>
      </c>
      <c r="B48" s="26" t="s">
        <v>41</v>
      </c>
      <c r="C48" s="39"/>
      <c r="D48" s="67">
        <v>7599747.86</v>
      </c>
      <c r="E48" s="67"/>
      <c r="F48" s="67">
        <v>0.7000000001862645</v>
      </c>
      <c r="G48" s="50">
        <v>88181.5</v>
      </c>
      <c r="H48" s="67">
        <v>320584.47</v>
      </c>
      <c r="I48" s="67"/>
      <c r="J48" s="68"/>
      <c r="K48" s="69">
        <f t="shared" si="28"/>
        <v>7190981.19</v>
      </c>
      <c r="L48" s="69">
        <v>6700000</v>
      </c>
      <c r="M48" s="70">
        <f t="shared" si="29"/>
        <v>490981.1900000004</v>
      </c>
      <c r="N48" s="69"/>
      <c r="O48" s="69"/>
      <c r="P48" s="70">
        <f t="shared" si="30"/>
        <v>0</v>
      </c>
      <c r="Q48" s="8">
        <f t="shared" si="31"/>
        <v>168535.21</v>
      </c>
      <c r="R48" s="8">
        <f t="shared" si="32"/>
        <v>154821.8</v>
      </c>
      <c r="S48" s="88">
        <f t="shared" si="33"/>
        <v>154821.8</v>
      </c>
      <c r="T48" s="123">
        <f t="shared" si="34"/>
        <v>0.3153314284809971</v>
      </c>
      <c r="U48" s="8">
        <f t="shared" si="35"/>
        <v>336159.3900000004</v>
      </c>
      <c r="V48" s="8">
        <f t="shared" si="36"/>
        <v>336159.3900000004</v>
      </c>
      <c r="W48" s="69"/>
      <c r="AE48" s="54"/>
      <c r="AF48" s="54"/>
      <c r="AG48" s="54"/>
      <c r="AH48" s="54"/>
      <c r="AI48" s="54"/>
      <c r="AJ48" s="54"/>
      <c r="HS48" s="3"/>
      <c r="HT48" s="3"/>
      <c r="HU48" s="3"/>
      <c r="HV48" s="3"/>
      <c r="HW48" s="3"/>
      <c r="HX48" s="3"/>
      <c r="HY48" s="3"/>
      <c r="HZ48" s="3"/>
    </row>
    <row r="49" spans="1:36" s="3" customFormat="1" ht="12.75" customHeight="1">
      <c r="A49" s="144">
        <v>150104</v>
      </c>
      <c r="B49" s="35" t="s">
        <v>36</v>
      </c>
      <c r="C49" s="36"/>
      <c r="D49" s="67">
        <v>6411864.750000001</v>
      </c>
      <c r="E49" s="67"/>
      <c r="F49" s="67">
        <v>242351.04</v>
      </c>
      <c r="G49" s="50">
        <v>78295.07</v>
      </c>
      <c r="H49" s="67">
        <v>306958.21</v>
      </c>
      <c r="I49" s="67"/>
      <c r="J49" s="68"/>
      <c r="K49" s="69">
        <f t="shared" si="28"/>
        <v>5784260.430000001</v>
      </c>
      <c r="L49" s="69">
        <v>6000000</v>
      </c>
      <c r="M49" s="70">
        <f t="shared" si="29"/>
        <v>0</v>
      </c>
      <c r="N49" s="69"/>
      <c r="O49" s="69"/>
      <c r="P49" s="70">
        <f t="shared" si="30"/>
        <v>215739.56999999937</v>
      </c>
      <c r="Q49" s="8">
        <f t="shared" si="31"/>
        <v>0</v>
      </c>
      <c r="R49" s="8">
        <f t="shared" si="32"/>
        <v>0</v>
      </c>
      <c r="S49" s="88">
        <f t="shared" si="33"/>
        <v>0</v>
      </c>
      <c r="T49" s="123" t="str">
        <f t="shared" si="34"/>
        <v>      n.s.</v>
      </c>
      <c r="U49" s="8">
        <f t="shared" si="35"/>
        <v>0</v>
      </c>
      <c r="V49" s="8">
        <f t="shared" si="36"/>
        <v>0</v>
      </c>
      <c r="W49" s="69"/>
      <c r="AE49" s="54"/>
      <c r="AF49" s="54"/>
      <c r="AG49" s="54"/>
      <c r="AH49" s="54"/>
      <c r="AI49" s="54"/>
      <c r="AJ49" s="54"/>
    </row>
    <row r="50" spans="1:37" s="3" customFormat="1" ht="12.75" customHeight="1">
      <c r="A50" s="144">
        <v>150106</v>
      </c>
      <c r="B50" s="32" t="s">
        <v>43</v>
      </c>
      <c r="C50" s="24" t="s">
        <v>106</v>
      </c>
      <c r="D50" s="67">
        <v>5542518.21</v>
      </c>
      <c r="E50" s="67">
        <v>1585485.79</v>
      </c>
      <c r="F50" s="50">
        <v>0</v>
      </c>
      <c r="G50" s="50">
        <v>4684.78</v>
      </c>
      <c r="H50" s="67">
        <v>541706.85</v>
      </c>
      <c r="I50" s="50">
        <v>160768.26</v>
      </c>
      <c r="J50" s="62" t="s">
        <v>131</v>
      </c>
      <c r="K50" s="69">
        <f t="shared" si="28"/>
        <v>6420844.11</v>
      </c>
      <c r="L50" s="69">
        <v>6700000</v>
      </c>
      <c r="M50" s="70">
        <f t="shared" si="29"/>
        <v>0</v>
      </c>
      <c r="N50" s="69">
        <f>579283.72-L50+K50</f>
        <v>300127.8300000001</v>
      </c>
      <c r="O50" s="69">
        <v>279155.89</v>
      </c>
      <c r="P50" s="70">
        <f>IF(K50&gt;L50,0,(L50-K50-O50))</f>
        <v>-3.4924596548080444E-10</v>
      </c>
      <c r="Q50" s="8">
        <f t="shared" si="31"/>
        <v>0</v>
      </c>
      <c r="R50" s="8">
        <f t="shared" si="32"/>
        <v>94639.74</v>
      </c>
      <c r="S50" s="88">
        <f t="shared" si="33"/>
        <v>0</v>
      </c>
      <c r="T50" s="123" t="str">
        <f t="shared" si="34"/>
        <v>      n.s.</v>
      </c>
      <c r="U50" s="8">
        <f t="shared" si="35"/>
        <v>0</v>
      </c>
      <c r="V50" s="8">
        <f t="shared" si="36"/>
        <v>0</v>
      </c>
      <c r="W50" s="69"/>
      <c r="X50" s="84">
        <f>ROUND((H50+G50+F50)/(D50)*E50,2)</f>
        <v>156300.1</v>
      </c>
      <c r="Y50" s="54">
        <f>+X50-I50</f>
        <v>-4468.1600000000035</v>
      </c>
      <c r="AA50" s="3">
        <v>300127.83</v>
      </c>
      <c r="AB50" s="54">
        <f>+G50+H50+I50</f>
        <v>707159.89</v>
      </c>
      <c r="AC50" s="93">
        <f>116452.19+11423.98</f>
        <v>127876.17</v>
      </c>
      <c r="AD50" s="54">
        <f>+AB50-AC50</f>
        <v>579283.72</v>
      </c>
      <c r="AE50" s="54">
        <f>+AA50+P50</f>
        <v>300127.82999999967</v>
      </c>
      <c r="AF50" s="54"/>
      <c r="AG50" s="54"/>
      <c r="AH50" s="54"/>
      <c r="AI50" s="54"/>
      <c r="AJ50" s="54"/>
      <c r="AK50" s="49" t="s">
        <v>133</v>
      </c>
    </row>
    <row r="51" spans="1:36" s="3" customFormat="1" ht="12.75" customHeight="1">
      <c r="A51" s="144">
        <v>150109</v>
      </c>
      <c r="B51" s="32" t="s">
        <v>40</v>
      </c>
      <c r="C51" s="33"/>
      <c r="D51" s="67">
        <f>12184164.94+93326.7</f>
        <v>12277491.639999999</v>
      </c>
      <c r="E51" s="67"/>
      <c r="F51" s="67">
        <v>0</v>
      </c>
      <c r="G51" s="50">
        <v>292477.09</v>
      </c>
      <c r="H51" s="67">
        <v>266000.39</v>
      </c>
      <c r="I51" s="91"/>
      <c r="J51" s="62" t="s">
        <v>117</v>
      </c>
      <c r="K51" s="69">
        <f t="shared" si="28"/>
        <v>11719014.159999998</v>
      </c>
      <c r="L51" s="69">
        <v>12000000</v>
      </c>
      <c r="M51" s="70">
        <f t="shared" si="29"/>
        <v>0</v>
      </c>
      <c r="N51" s="69"/>
      <c r="O51" s="69"/>
      <c r="P51" s="70">
        <f>IF(K51&gt;L51,0,(L51-K51-O51))</f>
        <v>280985.8400000017</v>
      </c>
      <c r="Q51" s="8">
        <f t="shared" si="31"/>
        <v>0</v>
      </c>
      <c r="R51" s="8">
        <f t="shared" si="32"/>
        <v>0</v>
      </c>
      <c r="S51" s="88">
        <f t="shared" si="33"/>
        <v>0</v>
      </c>
      <c r="T51" s="123" t="str">
        <f t="shared" si="34"/>
        <v>      n.s.</v>
      </c>
      <c r="U51" s="8">
        <f t="shared" si="35"/>
        <v>0</v>
      </c>
      <c r="V51" s="8">
        <f t="shared" si="36"/>
        <v>0</v>
      </c>
      <c r="W51" s="69"/>
      <c r="AE51" s="54"/>
      <c r="AF51" s="54"/>
      <c r="AG51" s="54"/>
      <c r="AH51" s="54"/>
      <c r="AI51" s="54"/>
      <c r="AJ51" s="54"/>
    </row>
    <row r="52" spans="1:36" s="3" customFormat="1" ht="12.75" customHeight="1">
      <c r="A52" s="144">
        <v>150111</v>
      </c>
      <c r="B52" s="26" t="s">
        <v>33</v>
      </c>
      <c r="C52" s="39"/>
      <c r="D52" s="67">
        <v>6705586.4</v>
      </c>
      <c r="E52" s="67"/>
      <c r="F52" s="67">
        <v>23873.15</v>
      </c>
      <c r="G52" s="50">
        <v>73907.54</v>
      </c>
      <c r="H52" s="67">
        <v>305289.03</v>
      </c>
      <c r="I52" s="67"/>
      <c r="J52" s="68"/>
      <c r="K52" s="69">
        <f t="shared" si="28"/>
        <v>6302516.68</v>
      </c>
      <c r="L52" s="72">
        <v>6800000</v>
      </c>
      <c r="M52" s="70">
        <f t="shared" si="29"/>
        <v>0</v>
      </c>
      <c r="N52" s="72"/>
      <c r="O52" s="72"/>
      <c r="P52" s="70">
        <f>IF(K52&gt;L52,0,(L52-K52-O52))</f>
        <v>497483.3200000003</v>
      </c>
      <c r="Q52" s="8">
        <f t="shared" si="31"/>
        <v>0</v>
      </c>
      <c r="R52" s="8">
        <f t="shared" si="32"/>
        <v>0</v>
      </c>
      <c r="S52" s="88">
        <f t="shared" si="33"/>
        <v>0</v>
      </c>
      <c r="T52" s="123" t="str">
        <f t="shared" si="34"/>
        <v>      n.s.</v>
      </c>
      <c r="U52" s="8">
        <f t="shared" si="35"/>
        <v>0</v>
      </c>
      <c r="V52" s="8">
        <f t="shared" si="36"/>
        <v>0</v>
      </c>
      <c r="W52" s="72"/>
      <c r="AE52" s="54"/>
      <c r="AF52" s="54"/>
      <c r="AG52" s="54"/>
      <c r="AH52" s="54"/>
      <c r="AI52" s="54"/>
      <c r="AJ52" s="54"/>
    </row>
    <row r="53" spans="1:36" s="3" customFormat="1" ht="12.75" customHeight="1">
      <c r="A53" s="144">
        <v>150120</v>
      </c>
      <c r="B53" s="32" t="s">
        <v>42</v>
      </c>
      <c r="C53" s="33"/>
      <c r="D53" s="67">
        <v>3037061.32</v>
      </c>
      <c r="E53" s="67"/>
      <c r="F53" s="67">
        <v>21.72</v>
      </c>
      <c r="G53" s="50">
        <v>45951.55</v>
      </c>
      <c r="H53" s="67">
        <v>22768.5</v>
      </c>
      <c r="I53" s="67"/>
      <c r="J53" s="68"/>
      <c r="K53" s="69">
        <f t="shared" si="28"/>
        <v>2968319.55</v>
      </c>
      <c r="L53" s="72">
        <v>3000000</v>
      </c>
      <c r="M53" s="70">
        <f t="shared" si="29"/>
        <v>0</v>
      </c>
      <c r="N53" s="72"/>
      <c r="O53" s="72"/>
      <c r="P53" s="70">
        <f>IF(K53&gt;L53,0,(L53-K53-O53))</f>
        <v>31680.450000000186</v>
      </c>
      <c r="Q53" s="8">
        <f t="shared" si="31"/>
        <v>0</v>
      </c>
      <c r="R53" s="8">
        <f t="shared" si="32"/>
        <v>0</v>
      </c>
      <c r="S53" s="88">
        <f t="shared" si="33"/>
        <v>0</v>
      </c>
      <c r="T53" s="124" t="str">
        <f t="shared" si="34"/>
        <v>      n.s.</v>
      </c>
      <c r="U53" s="8">
        <f t="shared" si="35"/>
        <v>0</v>
      </c>
      <c r="V53" s="8">
        <f t="shared" si="36"/>
        <v>0</v>
      </c>
      <c r="W53" s="72"/>
      <c r="AE53" s="54"/>
      <c r="AF53" s="54"/>
      <c r="AG53" s="54"/>
      <c r="AH53" s="54"/>
      <c r="AI53" s="54"/>
      <c r="AJ53" s="54"/>
    </row>
    <row r="54" spans="1:23" s="3" customFormat="1" ht="15.75" customHeight="1">
      <c r="A54" s="148"/>
      <c r="B54" s="26" t="s">
        <v>14</v>
      </c>
      <c r="C54" s="27"/>
      <c r="D54" s="73">
        <f aca="true" t="shared" si="37" ref="D54:U54">SUM(D38:D53)</f>
        <v>138576714.36999997</v>
      </c>
      <c r="E54" s="73">
        <f t="shared" si="37"/>
        <v>3375454.94</v>
      </c>
      <c r="F54" s="73">
        <f t="shared" si="37"/>
        <v>433919.5200000002</v>
      </c>
      <c r="G54" s="73">
        <f t="shared" si="37"/>
        <v>759576.3980000002</v>
      </c>
      <c r="H54" s="73">
        <f t="shared" si="37"/>
        <v>2729186.6000000006</v>
      </c>
      <c r="I54" s="73">
        <f t="shared" si="37"/>
        <v>217611.13000000006</v>
      </c>
      <c r="J54" s="74"/>
      <c r="K54" s="73">
        <f t="shared" si="37"/>
        <v>137811875.662</v>
      </c>
      <c r="L54" s="73">
        <f t="shared" si="37"/>
        <v>138250000</v>
      </c>
      <c r="M54" s="73">
        <f t="shared" si="37"/>
        <v>3682452.6740000015</v>
      </c>
      <c r="N54" s="73">
        <f>SUM(N38:N53)</f>
        <v>1208772.84</v>
      </c>
      <c r="O54" s="73">
        <f>SUM(O38:O53)</f>
        <v>279155.89</v>
      </c>
      <c r="P54" s="73">
        <f t="shared" si="37"/>
        <v>3841421.122000001</v>
      </c>
      <c r="Q54" s="73">
        <f t="shared" si="37"/>
        <v>1264046.29</v>
      </c>
      <c r="R54" s="73">
        <f>SUM(R38:R53)</f>
        <v>1542357.1500000001</v>
      </c>
      <c r="S54" s="95">
        <f>SUM(S38:S53)</f>
        <v>1161536.96</v>
      </c>
      <c r="T54" s="125">
        <f t="shared" si="34"/>
        <v>0.3154248167806866</v>
      </c>
      <c r="U54" s="73">
        <f t="shared" si="37"/>
        <v>2520915.714000002</v>
      </c>
      <c r="V54" s="73">
        <f>SUM(V38:V53)</f>
        <v>2520915.714000002</v>
      </c>
      <c r="W54" s="73">
        <f>SUM(W38:W53)</f>
        <v>2777472.37</v>
      </c>
    </row>
    <row r="55" spans="1:23" s="3" customFormat="1" ht="6" customHeight="1">
      <c r="A55" s="148"/>
      <c r="B55" s="26"/>
      <c r="C55" s="34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98"/>
      <c r="T55" s="126"/>
      <c r="U55" s="75"/>
      <c r="V55" s="75"/>
      <c r="W55" s="75"/>
    </row>
    <row r="56" spans="1:23" s="3" customFormat="1" ht="15.75" customHeight="1">
      <c r="A56" s="150" t="s">
        <v>45</v>
      </c>
      <c r="B56" s="37"/>
      <c r="C56" s="38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97"/>
      <c r="T56" s="127"/>
      <c r="U56" s="66"/>
      <c r="V56" s="66"/>
      <c r="W56" s="66"/>
    </row>
    <row r="57" spans="1:28" s="3" customFormat="1" ht="12.75" customHeight="1">
      <c r="A57" s="144">
        <v>150084</v>
      </c>
      <c r="B57" s="35" t="s">
        <v>84</v>
      </c>
      <c r="C57" s="36"/>
      <c r="D57" s="67">
        <v>31209630.23</v>
      </c>
      <c r="E57" s="67"/>
      <c r="F57" s="67">
        <v>788.94</v>
      </c>
      <c r="G57" s="67">
        <v>347515.18</v>
      </c>
      <c r="H57" s="67">
        <v>488834.51</v>
      </c>
      <c r="I57" s="67"/>
      <c r="J57" s="68"/>
      <c r="K57" s="69">
        <f>+D57+E57-F57-G57-H57-I57</f>
        <v>30372491.599999998</v>
      </c>
      <c r="L57" s="69">
        <v>29000000</v>
      </c>
      <c r="M57" s="70">
        <f>IF(K57&gt;L57,(K57-L57),0)</f>
        <v>1372491.5999999978</v>
      </c>
      <c r="N57" s="69"/>
      <c r="O57" s="69"/>
      <c r="P57" s="70">
        <f>IF(K57&gt;L57,0,(L57-K57-O57))</f>
        <v>0</v>
      </c>
      <c r="Q57" s="8">
        <f>ROUND(P$100/M$100*M57,2)</f>
        <v>471124.29</v>
      </c>
      <c r="R57" s="8">
        <f>ROUND(P$100/(M$100+N$100)*(M57+N57),2)</f>
        <v>432789.74</v>
      </c>
      <c r="S57" s="88">
        <f>IF(Q57&gt;R57,R57,Q57)</f>
        <v>432789.74</v>
      </c>
      <c r="T57" s="123">
        <f>IF(M57=0,"      n.s.",+S57/M57)</f>
        <v>0.3153314308080288</v>
      </c>
      <c r="U57" s="8">
        <f>+M57-S57</f>
        <v>939701.8599999978</v>
      </c>
      <c r="V57" s="8">
        <f>+U57</f>
        <v>939701.8599999978</v>
      </c>
      <c r="W57" s="69"/>
      <c r="AA57" s="54">
        <f>+F58</f>
        <v>128985.76</v>
      </c>
      <c r="AB57" s="54">
        <f>+G58</f>
        <v>159719.79</v>
      </c>
    </row>
    <row r="58" spans="1:37" s="3" customFormat="1" ht="12.75" customHeight="1">
      <c r="A58" s="144">
        <v>150097</v>
      </c>
      <c r="B58" s="35" t="s">
        <v>47</v>
      </c>
      <c r="C58" s="24" t="s">
        <v>105</v>
      </c>
      <c r="D58" s="67">
        <v>4009885.12</v>
      </c>
      <c r="E58" s="67">
        <v>707744.72368</v>
      </c>
      <c r="F58" s="67">
        <v>128985.76</v>
      </c>
      <c r="G58" s="67">
        <v>159719.79</v>
      </c>
      <c r="H58" s="67">
        <v>47868.23</v>
      </c>
      <c r="I58" s="67">
        <v>59405.27</v>
      </c>
      <c r="J58" s="71" t="s">
        <v>122</v>
      </c>
      <c r="K58" s="69">
        <f>+D58+E58-F58-G58-H58-I58</f>
        <v>4321650.79368</v>
      </c>
      <c r="L58" s="69">
        <v>3900000</v>
      </c>
      <c r="M58" s="70">
        <f>IF(K58&gt;L58,(K58-L58),0)</f>
        <v>421650.7936800001</v>
      </c>
      <c r="N58" s="69">
        <v>135634.64</v>
      </c>
      <c r="O58" s="69"/>
      <c r="P58" s="70">
        <f>IF(K58&gt;L58,0,(L58-K58-O58))</f>
        <v>0</v>
      </c>
      <c r="Q58" s="8">
        <f>ROUND(P$100/M$100*M58,2)</f>
        <v>144736.72</v>
      </c>
      <c r="R58" s="8">
        <f>ROUND(P$100/(M$100+N$100)*(M58+N58),2)</f>
        <v>175729.61</v>
      </c>
      <c r="S58" s="88">
        <f>IF(Q58&gt;R58,R58,Q58)</f>
        <v>144736.72</v>
      </c>
      <c r="T58" s="123">
        <f>IF(M58=0,"      n.s.",+S58/M58)</f>
        <v>0.34326205990695663</v>
      </c>
      <c r="U58" s="8">
        <f>+M58-S58</f>
        <v>276914.07368000015</v>
      </c>
      <c r="V58" s="8">
        <f>+U58</f>
        <v>276914.07368000015</v>
      </c>
      <c r="W58" s="69"/>
      <c r="X58" s="84">
        <f>ROUND((H58+G58+F58)/(D58)*E58,2)</f>
        <v>59405.27</v>
      </c>
      <c r="Y58" s="54">
        <f>+X58-I58</f>
        <v>0</v>
      </c>
      <c r="AA58" s="3">
        <v>87517.41</v>
      </c>
      <c r="AB58" s="3">
        <v>65553.5</v>
      </c>
      <c r="AK58" s="49" t="s">
        <v>133</v>
      </c>
    </row>
    <row r="59" spans="1:29" s="3" customFormat="1" ht="12.75" customHeight="1">
      <c r="A59" s="144">
        <v>150101</v>
      </c>
      <c r="B59" s="32" t="s">
        <v>48</v>
      </c>
      <c r="C59" s="33"/>
      <c r="D59" s="67">
        <v>2982362.04</v>
      </c>
      <c r="E59" s="67"/>
      <c r="F59" s="67">
        <v>21047.01</v>
      </c>
      <c r="G59" s="67"/>
      <c r="H59" s="67">
        <v>17412.44</v>
      </c>
      <c r="I59" s="67"/>
      <c r="J59" s="68"/>
      <c r="K59" s="69">
        <f>+D59+E59-F59-G59-H59-I59</f>
        <v>2943902.5900000003</v>
      </c>
      <c r="L59" s="69">
        <v>2900000</v>
      </c>
      <c r="M59" s="70">
        <f>IF(K59&gt;L59,(K59-L59),0)</f>
        <v>43902.59000000032</v>
      </c>
      <c r="N59" s="69"/>
      <c r="O59" s="69"/>
      <c r="P59" s="70">
        <f>IF(K59&gt;L59,0,(L59-K59-O59))</f>
        <v>0</v>
      </c>
      <c r="Q59" s="8">
        <f>ROUND(P$100/M$100*M59,2)</f>
        <v>15070.09</v>
      </c>
      <c r="R59" s="8">
        <f>ROUND(P$100/(M$100+N$100)*(M59+N59),2)</f>
        <v>13843.87</v>
      </c>
      <c r="S59" s="88">
        <f>IF(Q59&gt;R59,R59,Q59)</f>
        <v>13843.87</v>
      </c>
      <c r="T59" s="124">
        <f>IF(M59=0,"      n.s.",+S59/M59)</f>
        <v>0.31533151005441595</v>
      </c>
      <c r="U59" s="8">
        <f>+M59-S59</f>
        <v>30058.720000000314</v>
      </c>
      <c r="V59" s="8">
        <f>+U59</f>
        <v>30058.720000000314</v>
      </c>
      <c r="W59" s="69"/>
      <c r="AA59" s="54">
        <f>+AA57-AA58</f>
        <v>41468.34999999999</v>
      </c>
      <c r="AB59" s="54">
        <f>+AB57-AB58</f>
        <v>94166.29000000001</v>
      </c>
      <c r="AC59" s="54">
        <f>SUM(AA59:AB59)</f>
        <v>135634.64</v>
      </c>
    </row>
    <row r="60" spans="1:37" s="3" customFormat="1" ht="12.75" customHeight="1">
      <c r="A60" s="144">
        <v>150116</v>
      </c>
      <c r="B60" s="35" t="s">
        <v>46</v>
      </c>
      <c r="C60" s="36"/>
      <c r="D60" s="67">
        <v>16815722.42</v>
      </c>
      <c r="E60" s="67"/>
      <c r="F60" s="67"/>
      <c r="G60" s="67">
        <v>65358.41</v>
      </c>
      <c r="H60" s="67">
        <v>89403.11</v>
      </c>
      <c r="I60" s="67"/>
      <c r="J60" s="71" t="s">
        <v>121</v>
      </c>
      <c r="K60" s="69">
        <f>+D60+E60-F60-G60-H60-I60</f>
        <v>16660960.900000002</v>
      </c>
      <c r="L60" s="72">
        <v>17000000</v>
      </c>
      <c r="M60" s="70">
        <f>IF(K60&gt;L60,(K60-L60),0)</f>
        <v>0</v>
      </c>
      <c r="N60" s="72"/>
      <c r="O60" s="72">
        <v>65358.41</v>
      </c>
      <c r="P60" s="70">
        <f>IF(K60&gt;L60,0,(L60-K60-O60))</f>
        <v>273680.68999999773</v>
      </c>
      <c r="Q60" s="8">
        <f>ROUND(P$100/M$100*M60,2)</f>
        <v>0</v>
      </c>
      <c r="R60" s="8">
        <f>ROUND(P$100/(M$100+N$100)*(M60+N60),2)</f>
        <v>0</v>
      </c>
      <c r="S60" s="88">
        <f>IF(Q60&gt;R60,R60,Q60)</f>
        <v>0</v>
      </c>
      <c r="T60" s="125" t="str">
        <f>IF(M60=0,"      n.s.",+S60/M60)</f>
        <v>      n.s.</v>
      </c>
      <c r="U60" s="8">
        <f>+M60-S60</f>
        <v>0</v>
      </c>
      <c r="V60" s="8">
        <f>+U60</f>
        <v>0</v>
      </c>
      <c r="W60" s="72"/>
      <c r="AK60" s="49" t="s">
        <v>133</v>
      </c>
    </row>
    <row r="61" spans="1:23" s="3" customFormat="1" ht="15.75" customHeight="1">
      <c r="A61" s="148"/>
      <c r="B61" s="26" t="s">
        <v>14</v>
      </c>
      <c r="C61" s="27"/>
      <c r="D61" s="73">
        <f aca="true" t="shared" si="38" ref="D61:U61">SUM(D57:D60)</f>
        <v>55017599.81</v>
      </c>
      <c r="E61" s="73">
        <f t="shared" si="38"/>
        <v>707744.72368</v>
      </c>
      <c r="F61" s="73">
        <f t="shared" si="38"/>
        <v>150821.71</v>
      </c>
      <c r="G61" s="73">
        <f t="shared" si="38"/>
        <v>572593.38</v>
      </c>
      <c r="H61" s="73">
        <f t="shared" si="38"/>
        <v>643518.2899999999</v>
      </c>
      <c r="I61" s="73">
        <f t="shared" si="38"/>
        <v>59405.27</v>
      </c>
      <c r="J61" s="74"/>
      <c r="K61" s="73">
        <f t="shared" si="38"/>
        <v>54299005.88368</v>
      </c>
      <c r="L61" s="73">
        <f t="shared" si="38"/>
        <v>52800000</v>
      </c>
      <c r="M61" s="73">
        <f t="shared" si="38"/>
        <v>1838044.9836799982</v>
      </c>
      <c r="N61" s="73">
        <f>SUM(N57:N60)</f>
        <v>135634.64</v>
      </c>
      <c r="O61" s="73">
        <f>SUM(O57:O60)</f>
        <v>65358.41</v>
      </c>
      <c r="P61" s="73">
        <f t="shared" si="38"/>
        <v>273680.68999999773</v>
      </c>
      <c r="Q61" s="73">
        <f t="shared" si="38"/>
        <v>630931.1</v>
      </c>
      <c r="R61" s="73">
        <f>SUM(R57:R60)</f>
        <v>622363.22</v>
      </c>
      <c r="S61" s="95">
        <f>SUM(S57:S60)</f>
        <v>591370.33</v>
      </c>
      <c r="T61" s="125">
        <f>+S61/M61</f>
        <v>0.3217387687737663</v>
      </c>
      <c r="U61" s="73">
        <f t="shared" si="38"/>
        <v>1246674.6536799981</v>
      </c>
      <c r="V61" s="73">
        <f>SUM(V57:V60)</f>
        <v>1246674.6536799981</v>
      </c>
      <c r="W61" s="73">
        <f>SUM(W57:W60)</f>
        <v>0</v>
      </c>
    </row>
    <row r="62" spans="1:23" s="3" customFormat="1" ht="6" customHeight="1">
      <c r="A62" s="148"/>
      <c r="B62" s="26"/>
      <c r="C62" s="3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98"/>
      <c r="T62" s="126"/>
      <c r="U62" s="75"/>
      <c r="V62" s="75"/>
      <c r="W62" s="75"/>
    </row>
    <row r="63" spans="1:23" s="3" customFormat="1" ht="15.75" customHeight="1">
      <c r="A63" s="150" t="s">
        <v>49</v>
      </c>
      <c r="B63" s="37"/>
      <c r="C63" s="38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97"/>
      <c r="T63" s="127"/>
      <c r="U63" s="66"/>
      <c r="V63" s="66"/>
      <c r="W63" s="66"/>
    </row>
    <row r="64" spans="1:39" s="3" customFormat="1" ht="12.75" customHeight="1">
      <c r="A64" s="144">
        <v>150082</v>
      </c>
      <c r="B64" s="32" t="s">
        <v>53</v>
      </c>
      <c r="C64" s="24" t="s">
        <v>103</v>
      </c>
      <c r="D64" s="67">
        <v>3550394.87</v>
      </c>
      <c r="E64" s="67">
        <v>685165.07</v>
      </c>
      <c r="F64" s="67"/>
      <c r="G64" s="67">
        <v>4544.76</v>
      </c>
      <c r="H64" s="67">
        <v>142723.59</v>
      </c>
      <c r="I64" s="67">
        <v>28420.21</v>
      </c>
      <c r="J64" s="68"/>
      <c r="K64" s="69">
        <f aca="true" t="shared" si="39" ref="K64:K76">+D64+E64-F64-G64-H64-I64</f>
        <v>4059871.380000001</v>
      </c>
      <c r="L64" s="69">
        <v>3300000</v>
      </c>
      <c r="M64" s="70">
        <f aca="true" t="shared" si="40" ref="M64:M76">IF(K64&gt;L64,(K64-L64),0)</f>
        <v>759871.3800000008</v>
      </c>
      <c r="N64" s="69"/>
      <c r="O64" s="69"/>
      <c r="P64" s="70">
        <f aca="true" t="shared" si="41" ref="P64:P76">IF(K64&gt;L64,0,(L64-K64-O64))</f>
        <v>0</v>
      </c>
      <c r="Q64" s="8">
        <f aca="true" t="shared" si="42" ref="Q64:Q76">ROUND(P$100/M$100*M64,2)</f>
        <v>260835.01</v>
      </c>
      <c r="R64" s="8">
        <f aca="true" t="shared" si="43" ref="R64:R76">ROUND(P$100/(M$100+N$100)*(M64+N64),2)</f>
        <v>239611.33</v>
      </c>
      <c r="S64" s="88">
        <f aca="true" t="shared" si="44" ref="S64:S76">IF(Q64&gt;R64,R64,Q64)</f>
        <v>239611.33</v>
      </c>
      <c r="T64" s="123">
        <f aca="true" t="shared" si="45" ref="T64:T77">IF(M64=0,"      n.s.",+S64/M64)</f>
        <v>0.3153314314851544</v>
      </c>
      <c r="U64" s="8">
        <f aca="true" t="shared" si="46" ref="U64:U76">+M64-S64</f>
        <v>520260.05000000086</v>
      </c>
      <c r="V64" s="8">
        <f aca="true" t="shared" si="47" ref="V64:V76">+U64</f>
        <v>520260.05000000086</v>
      </c>
      <c r="W64" s="69"/>
      <c r="X64" s="84">
        <f aca="true" t="shared" si="48" ref="X64:X76">ROUND((H64+G64+F64)/(D64)*E64,2)</f>
        <v>28420.26</v>
      </c>
      <c r="Y64" s="54">
        <f aca="true" t="shared" si="49" ref="Y64:Y76">+X64-I64</f>
        <v>0.049999999999272404</v>
      </c>
      <c r="AF64" s="54"/>
      <c r="AG64" s="54"/>
      <c r="AH64" s="54"/>
      <c r="AI64" s="54"/>
      <c r="AJ64" s="54"/>
      <c r="AK64" s="54"/>
      <c r="AL64" s="54"/>
      <c r="AM64" s="54"/>
    </row>
    <row r="65" spans="1:39" s="3" customFormat="1" ht="12.75" customHeight="1">
      <c r="A65" s="144">
        <v>150100</v>
      </c>
      <c r="B65" s="32" t="s">
        <v>56</v>
      </c>
      <c r="C65" s="33"/>
      <c r="D65" s="67">
        <v>11684210.48</v>
      </c>
      <c r="E65" s="67"/>
      <c r="F65" s="67"/>
      <c r="G65" s="67">
        <v>235898.36</v>
      </c>
      <c r="H65" s="67">
        <v>351233.22</v>
      </c>
      <c r="I65" s="67"/>
      <c r="J65" s="68"/>
      <c r="K65" s="69">
        <f t="shared" si="39"/>
        <v>11097078.9</v>
      </c>
      <c r="L65" s="69">
        <v>11500000</v>
      </c>
      <c r="M65" s="70">
        <f t="shared" si="40"/>
        <v>0</v>
      </c>
      <c r="N65" s="69"/>
      <c r="O65" s="69"/>
      <c r="P65" s="70">
        <f t="shared" si="41"/>
        <v>402921.0999999996</v>
      </c>
      <c r="Q65" s="8">
        <f t="shared" si="42"/>
        <v>0</v>
      </c>
      <c r="R65" s="8">
        <f t="shared" si="43"/>
        <v>0</v>
      </c>
      <c r="S65" s="88">
        <f t="shared" si="44"/>
        <v>0</v>
      </c>
      <c r="T65" s="123" t="str">
        <f t="shared" si="45"/>
        <v>      n.s.</v>
      </c>
      <c r="U65" s="8">
        <f t="shared" si="46"/>
        <v>0</v>
      </c>
      <c r="V65" s="8">
        <f t="shared" si="47"/>
        <v>0</v>
      </c>
      <c r="W65" s="69"/>
      <c r="X65" s="84">
        <f t="shared" si="48"/>
        <v>0</v>
      </c>
      <c r="Y65" s="54">
        <f t="shared" si="49"/>
        <v>0</v>
      </c>
      <c r="AF65" s="54"/>
      <c r="AG65" s="54"/>
      <c r="AH65" s="54"/>
      <c r="AI65" s="54"/>
      <c r="AJ65" s="54"/>
      <c r="AK65" s="54"/>
      <c r="AL65" s="54"/>
      <c r="AM65" s="54"/>
    </row>
    <row r="66" spans="1:39" s="3" customFormat="1" ht="12.75" customHeight="1">
      <c r="A66" s="144">
        <v>150102</v>
      </c>
      <c r="B66" s="32" t="s">
        <v>59</v>
      </c>
      <c r="C66" s="33"/>
      <c r="D66" s="67">
        <v>3394129.77</v>
      </c>
      <c r="E66" s="67"/>
      <c r="F66" s="67"/>
      <c r="G66" s="67">
        <v>333.7</v>
      </c>
      <c r="H66" s="67">
        <v>103714.12</v>
      </c>
      <c r="I66" s="67"/>
      <c r="J66" s="68"/>
      <c r="K66" s="69">
        <f t="shared" si="39"/>
        <v>3290081.9499999997</v>
      </c>
      <c r="L66" s="69">
        <v>3100000</v>
      </c>
      <c r="M66" s="70">
        <f t="shared" si="40"/>
        <v>190081.94999999972</v>
      </c>
      <c r="N66" s="69"/>
      <c r="O66" s="69"/>
      <c r="P66" s="70">
        <f t="shared" si="41"/>
        <v>0</v>
      </c>
      <c r="Q66" s="8">
        <f t="shared" si="42"/>
        <v>65247.92</v>
      </c>
      <c r="R66" s="8">
        <f t="shared" si="43"/>
        <v>59938.81</v>
      </c>
      <c r="S66" s="88">
        <f t="shared" si="44"/>
        <v>59938.81</v>
      </c>
      <c r="T66" s="123">
        <f t="shared" si="45"/>
        <v>0.3153314136350142</v>
      </c>
      <c r="U66" s="8">
        <f t="shared" si="46"/>
        <v>130143.13999999972</v>
      </c>
      <c r="V66" s="8">
        <f t="shared" si="47"/>
        <v>130143.13999999972</v>
      </c>
      <c r="W66" s="69"/>
      <c r="X66" s="84">
        <f t="shared" si="48"/>
        <v>0</v>
      </c>
      <c r="Y66" s="54">
        <f t="shared" si="49"/>
        <v>0</v>
      </c>
      <c r="AF66" s="54"/>
      <c r="AG66" s="54"/>
      <c r="AH66" s="54"/>
      <c r="AI66" s="54"/>
      <c r="AJ66" s="54"/>
      <c r="AK66" s="54"/>
      <c r="AL66" s="54"/>
      <c r="AM66" s="54"/>
    </row>
    <row r="67" spans="1:39" s="3" customFormat="1" ht="12.75" customHeight="1">
      <c r="A67" s="144">
        <v>150105</v>
      </c>
      <c r="B67" s="32" t="s">
        <v>57</v>
      </c>
      <c r="C67" s="33"/>
      <c r="D67" s="67">
        <v>13151867.06</v>
      </c>
      <c r="E67" s="67"/>
      <c r="F67" s="67"/>
      <c r="G67" s="67">
        <v>189009.35</v>
      </c>
      <c r="H67" s="67">
        <v>75073.4</v>
      </c>
      <c r="I67" s="67"/>
      <c r="J67" s="68"/>
      <c r="K67" s="69">
        <f t="shared" si="39"/>
        <v>12887784.31</v>
      </c>
      <c r="L67" s="69">
        <v>12700000</v>
      </c>
      <c r="M67" s="70">
        <f t="shared" si="40"/>
        <v>187784.31000000052</v>
      </c>
      <c r="N67" s="69"/>
      <c r="O67" s="69"/>
      <c r="P67" s="70">
        <f t="shared" si="41"/>
        <v>0</v>
      </c>
      <c r="Q67" s="8">
        <f t="shared" si="42"/>
        <v>64459.23</v>
      </c>
      <c r="R67" s="8">
        <f t="shared" si="43"/>
        <v>59214.3</v>
      </c>
      <c r="S67" s="88">
        <f t="shared" si="44"/>
        <v>59214.3</v>
      </c>
      <c r="T67" s="123">
        <f t="shared" si="45"/>
        <v>0.31533145660571876</v>
      </c>
      <c r="U67" s="8">
        <f t="shared" si="46"/>
        <v>128570.01000000052</v>
      </c>
      <c r="V67" s="8">
        <f t="shared" si="47"/>
        <v>128570.01000000052</v>
      </c>
      <c r="W67" s="69"/>
      <c r="X67" s="84">
        <f t="shared" si="48"/>
        <v>0</v>
      </c>
      <c r="Y67" s="54">
        <f t="shared" si="49"/>
        <v>0</v>
      </c>
      <c r="AF67" s="54"/>
      <c r="AG67" s="54"/>
      <c r="AH67" s="54"/>
      <c r="AI67" s="54"/>
      <c r="AJ67" s="54"/>
      <c r="AK67" s="54"/>
      <c r="AL67" s="54"/>
      <c r="AM67" s="54"/>
    </row>
    <row r="68" spans="1:39" s="3" customFormat="1" ht="12.75" customHeight="1">
      <c r="A68" s="144">
        <v>150107</v>
      </c>
      <c r="B68" s="32" t="s">
        <v>51</v>
      </c>
      <c r="C68" s="33"/>
      <c r="D68" s="67">
        <v>1361905.1</v>
      </c>
      <c r="E68" s="67"/>
      <c r="F68" s="67"/>
      <c r="G68" s="67"/>
      <c r="H68" s="50">
        <f>137183.69</f>
        <v>137183.69</v>
      </c>
      <c r="I68" s="67"/>
      <c r="J68" s="62" t="s">
        <v>123</v>
      </c>
      <c r="K68" s="69">
        <f t="shared" si="39"/>
        <v>1224721.4100000001</v>
      </c>
      <c r="L68" s="69">
        <v>1350000</v>
      </c>
      <c r="M68" s="63">
        <f t="shared" si="40"/>
        <v>0</v>
      </c>
      <c r="N68" s="69">
        <f>137183.69-L68+K68</f>
        <v>11905.100000000093</v>
      </c>
      <c r="O68" s="69">
        <f>+L68-K68</f>
        <v>125278.58999999985</v>
      </c>
      <c r="P68" s="70">
        <f t="shared" si="41"/>
        <v>0</v>
      </c>
      <c r="Q68" s="8">
        <f t="shared" si="42"/>
        <v>0</v>
      </c>
      <c r="R68" s="8">
        <f t="shared" si="43"/>
        <v>3754.05</v>
      </c>
      <c r="S68" s="88">
        <f t="shared" si="44"/>
        <v>0</v>
      </c>
      <c r="T68" s="123" t="str">
        <f t="shared" si="45"/>
        <v>      n.s.</v>
      </c>
      <c r="U68" s="8">
        <f t="shared" si="46"/>
        <v>0</v>
      </c>
      <c r="V68" s="8">
        <f t="shared" si="47"/>
        <v>0</v>
      </c>
      <c r="W68" s="69"/>
      <c r="X68" s="84">
        <f t="shared" si="48"/>
        <v>0</v>
      </c>
      <c r="Y68" s="54">
        <f t="shared" si="49"/>
        <v>0</v>
      </c>
      <c r="AF68" s="54"/>
      <c r="AG68" s="54"/>
      <c r="AH68" s="54"/>
      <c r="AI68" s="54"/>
      <c r="AJ68" s="54"/>
      <c r="AK68" s="49" t="s">
        <v>133</v>
      </c>
      <c r="AL68" s="54"/>
      <c r="AM68" s="54"/>
    </row>
    <row r="69" spans="1:39" s="3" customFormat="1" ht="12.75" customHeight="1">
      <c r="A69" s="144">
        <v>150108</v>
      </c>
      <c r="B69" s="32" t="s">
        <v>62</v>
      </c>
      <c r="C69" s="24" t="s">
        <v>105</v>
      </c>
      <c r="D69" s="67">
        <v>9900190.58</v>
      </c>
      <c r="E69" s="67">
        <v>1747128.52</v>
      </c>
      <c r="F69" s="67"/>
      <c r="G69" s="67">
        <v>83683.1</v>
      </c>
      <c r="H69" s="67">
        <v>474991.83</v>
      </c>
      <c r="I69" s="67">
        <v>98589.69</v>
      </c>
      <c r="J69" s="68"/>
      <c r="K69" s="69">
        <f t="shared" si="39"/>
        <v>10990054.48</v>
      </c>
      <c r="L69" s="69">
        <v>10100000</v>
      </c>
      <c r="M69" s="70">
        <f t="shared" si="40"/>
        <v>890054.4800000004</v>
      </c>
      <c r="N69" s="69"/>
      <c r="O69" s="69"/>
      <c r="P69" s="70">
        <f t="shared" si="41"/>
        <v>0</v>
      </c>
      <c r="Q69" s="8">
        <f t="shared" si="42"/>
        <v>305521.93</v>
      </c>
      <c r="R69" s="8">
        <f t="shared" si="43"/>
        <v>280662.15</v>
      </c>
      <c r="S69" s="88">
        <f t="shared" si="44"/>
        <v>280662.15</v>
      </c>
      <c r="T69" s="123">
        <f t="shared" si="45"/>
        <v>0.3153314278020373</v>
      </c>
      <c r="U69" s="8">
        <f t="shared" si="46"/>
        <v>609392.3300000004</v>
      </c>
      <c r="V69" s="8">
        <f t="shared" si="47"/>
        <v>609392.3300000004</v>
      </c>
      <c r="W69" s="69"/>
      <c r="X69" s="84">
        <f t="shared" si="48"/>
        <v>98591.73</v>
      </c>
      <c r="Y69" s="54">
        <f t="shared" si="49"/>
        <v>2.039999999993597</v>
      </c>
      <c r="AF69" s="54"/>
      <c r="AG69" s="54"/>
      <c r="AH69" s="54"/>
      <c r="AI69" s="54"/>
      <c r="AJ69" s="54"/>
      <c r="AK69" s="54"/>
      <c r="AL69" s="54"/>
      <c r="AM69" s="54"/>
    </row>
    <row r="70" spans="1:39" s="3" customFormat="1" ht="12.75" customHeight="1">
      <c r="A70" s="144">
        <v>150110</v>
      </c>
      <c r="B70" s="32" t="s">
        <v>54</v>
      </c>
      <c r="C70" s="33"/>
      <c r="D70" s="67">
        <v>14896639.3</v>
      </c>
      <c r="E70" s="67"/>
      <c r="F70" s="67"/>
      <c r="G70" s="67">
        <v>163687.88</v>
      </c>
      <c r="H70" s="67">
        <v>351722.34</v>
      </c>
      <c r="I70" s="67"/>
      <c r="J70" s="68"/>
      <c r="K70" s="69">
        <f t="shared" si="39"/>
        <v>14381229.08</v>
      </c>
      <c r="L70" s="69">
        <v>13400000</v>
      </c>
      <c r="M70" s="70">
        <f t="shared" si="40"/>
        <v>981229.0800000001</v>
      </c>
      <c r="N70" s="69"/>
      <c r="O70" s="69"/>
      <c r="P70" s="70">
        <f t="shared" si="41"/>
        <v>0</v>
      </c>
      <c r="Q70" s="8">
        <f t="shared" si="42"/>
        <v>336818.71</v>
      </c>
      <c r="R70" s="8">
        <f t="shared" si="43"/>
        <v>309412.37</v>
      </c>
      <c r="S70" s="88">
        <f t="shared" si="44"/>
        <v>309412.37</v>
      </c>
      <c r="T70" s="123">
        <f t="shared" si="45"/>
        <v>0.31533143106602585</v>
      </c>
      <c r="U70" s="8">
        <f t="shared" si="46"/>
        <v>671816.7100000001</v>
      </c>
      <c r="V70" s="8">
        <f t="shared" si="47"/>
        <v>671816.7100000001</v>
      </c>
      <c r="W70" s="69"/>
      <c r="X70" s="84">
        <f t="shared" si="48"/>
        <v>0</v>
      </c>
      <c r="Y70" s="54">
        <f t="shared" si="49"/>
        <v>0</v>
      </c>
      <c r="AF70" s="54"/>
      <c r="AG70" s="54"/>
      <c r="AH70" s="54"/>
      <c r="AI70" s="54"/>
      <c r="AJ70" s="54"/>
      <c r="AK70" s="54"/>
      <c r="AL70" s="54"/>
      <c r="AM70" s="54"/>
    </row>
    <row r="71" spans="1:39" s="3" customFormat="1" ht="12.75" customHeight="1">
      <c r="A71" s="144">
        <v>150113</v>
      </c>
      <c r="B71" s="32" t="s">
        <v>61</v>
      </c>
      <c r="C71" s="33"/>
      <c r="D71" s="67">
        <v>21709162.41</v>
      </c>
      <c r="E71" s="67"/>
      <c r="F71" s="67"/>
      <c r="G71" s="67">
        <v>52533.72</v>
      </c>
      <c r="H71" s="67">
        <v>556597.07</v>
      </c>
      <c r="I71" s="67"/>
      <c r="J71" s="68"/>
      <c r="K71" s="69">
        <f t="shared" si="39"/>
        <v>21100031.62</v>
      </c>
      <c r="L71" s="69">
        <v>20500000</v>
      </c>
      <c r="M71" s="70">
        <f t="shared" si="40"/>
        <v>600031.620000001</v>
      </c>
      <c r="N71" s="69"/>
      <c r="O71" s="69"/>
      <c r="P71" s="70">
        <f t="shared" si="41"/>
        <v>0</v>
      </c>
      <c r="Q71" s="8">
        <f t="shared" si="42"/>
        <v>205968.09</v>
      </c>
      <c r="R71" s="8">
        <f t="shared" si="43"/>
        <v>189208.83</v>
      </c>
      <c r="S71" s="88">
        <f t="shared" si="44"/>
        <v>189208.83</v>
      </c>
      <c r="T71" s="123">
        <f t="shared" si="45"/>
        <v>0.31533143203353126</v>
      </c>
      <c r="U71" s="8">
        <f t="shared" si="46"/>
        <v>410822.7900000011</v>
      </c>
      <c r="V71" s="8">
        <f t="shared" si="47"/>
        <v>410822.7900000011</v>
      </c>
      <c r="W71" s="69"/>
      <c r="X71" s="84">
        <f t="shared" si="48"/>
        <v>0</v>
      </c>
      <c r="Y71" s="54">
        <f t="shared" si="49"/>
        <v>0</v>
      </c>
      <c r="AF71" s="54"/>
      <c r="AG71" s="54"/>
      <c r="AH71" s="54"/>
      <c r="AI71" s="54"/>
      <c r="AJ71" s="54"/>
      <c r="AK71" s="54"/>
      <c r="AL71" s="54"/>
      <c r="AM71" s="54"/>
    </row>
    <row r="72" spans="1:39" s="3" customFormat="1" ht="12.75" customHeight="1">
      <c r="A72" s="144">
        <v>150114</v>
      </c>
      <c r="B72" s="32" t="s">
        <v>52</v>
      </c>
      <c r="C72" s="24" t="s">
        <v>105</v>
      </c>
      <c r="D72" s="67">
        <v>9699018.58</v>
      </c>
      <c r="E72" s="50">
        <v>1711588.89</v>
      </c>
      <c r="F72" s="67"/>
      <c r="G72" s="67">
        <v>32321.12</v>
      </c>
      <c r="H72" s="67">
        <v>356903.32</v>
      </c>
      <c r="I72" s="50">
        <v>68686.67</v>
      </c>
      <c r="J72" s="62"/>
      <c r="K72" s="69">
        <f t="shared" si="39"/>
        <v>10952696.360000001</v>
      </c>
      <c r="L72" s="69">
        <v>9600000</v>
      </c>
      <c r="M72" s="70">
        <f t="shared" si="40"/>
        <v>1352696.3600000013</v>
      </c>
      <c r="N72" s="69"/>
      <c r="O72" s="69"/>
      <c r="P72" s="70">
        <f t="shared" si="41"/>
        <v>0</v>
      </c>
      <c r="Q72" s="8">
        <f t="shared" si="42"/>
        <v>464329.34</v>
      </c>
      <c r="R72" s="8">
        <f t="shared" si="43"/>
        <v>426547.68</v>
      </c>
      <c r="S72" s="88">
        <f t="shared" si="44"/>
        <v>426547.68</v>
      </c>
      <c r="T72" s="123">
        <f t="shared" si="45"/>
        <v>0.3153314318078002</v>
      </c>
      <c r="U72" s="8">
        <f t="shared" si="46"/>
        <v>926148.6800000013</v>
      </c>
      <c r="V72" s="8">
        <f t="shared" si="47"/>
        <v>926148.6800000013</v>
      </c>
      <c r="W72" s="69"/>
      <c r="X72" s="84">
        <f t="shared" si="48"/>
        <v>68686.56</v>
      </c>
      <c r="Y72" s="54">
        <f t="shared" si="49"/>
        <v>-0.11000000000058208</v>
      </c>
      <c r="AF72" s="54"/>
      <c r="AG72" s="54"/>
      <c r="AH72" s="54"/>
      <c r="AI72" s="54"/>
      <c r="AJ72" s="54"/>
      <c r="AK72" s="54"/>
      <c r="AL72" s="54"/>
      <c r="AM72" s="54"/>
    </row>
    <row r="73" spans="1:39" s="3" customFormat="1" ht="12.75" customHeight="1">
      <c r="A73" s="144">
        <v>150115</v>
      </c>
      <c r="B73" s="32" t="s">
        <v>50</v>
      </c>
      <c r="C73" s="33"/>
      <c r="D73" s="67">
        <v>702236.79</v>
      </c>
      <c r="E73" s="67"/>
      <c r="F73" s="67"/>
      <c r="G73" s="67">
        <v>24997.34</v>
      </c>
      <c r="H73" s="67">
        <v>34705.01</v>
      </c>
      <c r="I73" s="67"/>
      <c r="J73" s="68"/>
      <c r="K73" s="69">
        <f t="shared" si="39"/>
        <v>642534.4400000001</v>
      </c>
      <c r="L73" s="69">
        <v>1200000</v>
      </c>
      <c r="M73" s="70">
        <f t="shared" si="40"/>
        <v>0</v>
      </c>
      <c r="N73" s="69"/>
      <c r="O73" s="69"/>
      <c r="P73" s="70">
        <f t="shared" si="41"/>
        <v>557465.5599999999</v>
      </c>
      <c r="Q73" s="8">
        <f t="shared" si="42"/>
        <v>0</v>
      </c>
      <c r="R73" s="8">
        <f t="shared" si="43"/>
        <v>0</v>
      </c>
      <c r="S73" s="88">
        <f t="shared" si="44"/>
        <v>0</v>
      </c>
      <c r="T73" s="123" t="str">
        <f t="shared" si="45"/>
        <v>      n.s.</v>
      </c>
      <c r="U73" s="8">
        <f t="shared" si="46"/>
        <v>0</v>
      </c>
      <c r="V73" s="8">
        <f t="shared" si="47"/>
        <v>0</v>
      </c>
      <c r="W73" s="69"/>
      <c r="X73" s="84">
        <f t="shared" si="48"/>
        <v>0</v>
      </c>
      <c r="Y73" s="54">
        <f t="shared" si="49"/>
        <v>0</v>
      </c>
      <c r="AF73" s="54"/>
      <c r="AG73" s="54"/>
      <c r="AH73" s="54"/>
      <c r="AI73" s="54"/>
      <c r="AJ73" s="54"/>
      <c r="AK73" s="54"/>
      <c r="AL73" s="54"/>
      <c r="AM73" s="54"/>
    </row>
    <row r="74" spans="1:39" s="3" customFormat="1" ht="12.75" customHeight="1">
      <c r="A74" s="144">
        <v>150117</v>
      </c>
      <c r="B74" s="32" t="s">
        <v>55</v>
      </c>
      <c r="C74" s="24" t="s">
        <v>103</v>
      </c>
      <c r="D74" s="67">
        <v>3879192.27</v>
      </c>
      <c r="E74" s="67">
        <v>748616.05</v>
      </c>
      <c r="F74" s="67"/>
      <c r="G74" s="67">
        <v>23343.9</v>
      </c>
      <c r="H74" s="67">
        <v>8932.67</v>
      </c>
      <c r="I74" s="67">
        <v>6228.8</v>
      </c>
      <c r="J74" s="68"/>
      <c r="K74" s="69">
        <f t="shared" si="39"/>
        <v>4589302.95</v>
      </c>
      <c r="L74" s="69">
        <v>3300000</v>
      </c>
      <c r="M74" s="70">
        <f t="shared" si="40"/>
        <v>1289302.9500000002</v>
      </c>
      <c r="N74" s="69"/>
      <c r="O74" s="69"/>
      <c r="P74" s="70">
        <f t="shared" si="41"/>
        <v>0</v>
      </c>
      <c r="Q74" s="8">
        <f t="shared" si="42"/>
        <v>442568.79</v>
      </c>
      <c r="R74" s="8">
        <f t="shared" si="43"/>
        <v>406557.75</v>
      </c>
      <c r="S74" s="88">
        <f t="shared" si="44"/>
        <v>406557.75</v>
      </c>
      <c r="T74" s="123">
        <f t="shared" si="45"/>
        <v>0.31533143548612835</v>
      </c>
      <c r="U74" s="8">
        <f t="shared" si="46"/>
        <v>882745.2000000002</v>
      </c>
      <c r="V74" s="8">
        <f t="shared" si="47"/>
        <v>882745.2000000002</v>
      </c>
      <c r="W74" s="69"/>
      <c r="X74" s="84">
        <f t="shared" si="48"/>
        <v>6228.81</v>
      </c>
      <c r="Y74" s="54">
        <f t="shared" si="49"/>
        <v>0.010000000000218279</v>
      </c>
      <c r="AF74" s="54"/>
      <c r="AG74" s="54"/>
      <c r="AH74" s="54"/>
      <c r="AI74" s="54"/>
      <c r="AJ74" s="54"/>
      <c r="AK74" s="54"/>
      <c r="AL74" s="54"/>
      <c r="AM74" s="54"/>
    </row>
    <row r="75" spans="1:39" s="3" customFormat="1" ht="12.75" customHeight="1">
      <c r="A75" s="144">
        <v>150121</v>
      </c>
      <c r="B75" s="32" t="s">
        <v>60</v>
      </c>
      <c r="C75" s="33"/>
      <c r="D75" s="67">
        <v>1068450</v>
      </c>
      <c r="E75" s="67"/>
      <c r="F75" s="67"/>
      <c r="G75" s="67">
        <v>11661.7</v>
      </c>
      <c r="H75" s="67">
        <v>4261.78</v>
      </c>
      <c r="I75" s="67"/>
      <c r="J75" s="68"/>
      <c r="K75" s="69">
        <f t="shared" si="39"/>
        <v>1052526.52</v>
      </c>
      <c r="L75" s="69">
        <v>2100000</v>
      </c>
      <c r="M75" s="70">
        <f t="shared" si="40"/>
        <v>0</v>
      </c>
      <c r="N75" s="69"/>
      <c r="O75" s="69"/>
      <c r="P75" s="70">
        <f t="shared" si="41"/>
        <v>1047473.48</v>
      </c>
      <c r="Q75" s="8">
        <f t="shared" si="42"/>
        <v>0</v>
      </c>
      <c r="R75" s="8">
        <f t="shared" si="43"/>
        <v>0</v>
      </c>
      <c r="S75" s="88">
        <f t="shared" si="44"/>
        <v>0</v>
      </c>
      <c r="T75" s="123" t="str">
        <f t="shared" si="45"/>
        <v>      n.s.</v>
      </c>
      <c r="U75" s="8">
        <f t="shared" si="46"/>
        <v>0</v>
      </c>
      <c r="V75" s="8">
        <f t="shared" si="47"/>
        <v>0</v>
      </c>
      <c r="W75" s="69"/>
      <c r="X75" s="84">
        <f t="shared" si="48"/>
        <v>0</v>
      </c>
      <c r="Y75" s="54">
        <f t="shared" si="49"/>
        <v>0</v>
      </c>
      <c r="AF75" s="54"/>
      <c r="AG75" s="54"/>
      <c r="AH75" s="54"/>
      <c r="AI75" s="54"/>
      <c r="AJ75" s="54"/>
      <c r="AK75" s="54"/>
      <c r="AL75" s="54"/>
      <c r="AM75" s="54"/>
    </row>
    <row r="76" spans="1:39" s="3" customFormat="1" ht="12.75" customHeight="1">
      <c r="A76" s="144">
        <v>150192</v>
      </c>
      <c r="B76" s="32" t="s">
        <v>58</v>
      </c>
      <c r="C76" s="33"/>
      <c r="D76" s="67">
        <v>8648768.52</v>
      </c>
      <c r="E76" s="67"/>
      <c r="F76" s="67"/>
      <c r="G76" s="67">
        <v>53105.22</v>
      </c>
      <c r="H76" s="67">
        <v>42150.78</v>
      </c>
      <c r="I76" s="67"/>
      <c r="J76" s="71" t="s">
        <v>124</v>
      </c>
      <c r="K76" s="69">
        <f t="shared" si="39"/>
        <v>8553512.52</v>
      </c>
      <c r="L76" s="72">
        <v>8600000</v>
      </c>
      <c r="M76" s="70">
        <f t="shared" si="40"/>
        <v>0</v>
      </c>
      <c r="N76" s="72">
        <f>53105.22-L76+K76</f>
        <v>6617.7400000002235</v>
      </c>
      <c r="O76" s="72">
        <f>+L76-K76</f>
        <v>46487.48000000045</v>
      </c>
      <c r="P76" s="70">
        <f t="shared" si="41"/>
        <v>0</v>
      </c>
      <c r="Q76" s="8">
        <f t="shared" si="42"/>
        <v>0</v>
      </c>
      <c r="R76" s="8">
        <f t="shared" si="43"/>
        <v>2086.78</v>
      </c>
      <c r="S76" s="88">
        <f t="shared" si="44"/>
        <v>0</v>
      </c>
      <c r="T76" s="124" t="str">
        <f t="shared" si="45"/>
        <v>      n.s.</v>
      </c>
      <c r="U76" s="8">
        <f t="shared" si="46"/>
        <v>0</v>
      </c>
      <c r="V76" s="8">
        <f t="shared" si="47"/>
        <v>0</v>
      </c>
      <c r="W76" s="72"/>
      <c r="X76" s="84">
        <f t="shared" si="48"/>
        <v>0</v>
      </c>
      <c r="Y76" s="54">
        <f t="shared" si="49"/>
        <v>0</v>
      </c>
      <c r="AF76" s="54"/>
      <c r="AG76" s="54"/>
      <c r="AH76" s="54"/>
      <c r="AI76" s="54"/>
      <c r="AJ76" s="54"/>
      <c r="AK76" s="49" t="s">
        <v>133</v>
      </c>
      <c r="AL76" s="54"/>
      <c r="AM76" s="54"/>
    </row>
    <row r="77" spans="1:39" s="3" customFormat="1" ht="15.75" customHeight="1">
      <c r="A77" s="148"/>
      <c r="B77" s="26" t="s">
        <v>14</v>
      </c>
      <c r="C77" s="27"/>
      <c r="D77" s="73">
        <f aca="true" t="shared" si="50" ref="D77:U77">SUM(D64:D76)</f>
        <v>103646165.72999999</v>
      </c>
      <c r="E77" s="73">
        <f t="shared" si="50"/>
        <v>4892498.529999999</v>
      </c>
      <c r="F77" s="73">
        <f t="shared" si="50"/>
        <v>0</v>
      </c>
      <c r="G77" s="73">
        <f t="shared" si="50"/>
        <v>875120.1499999999</v>
      </c>
      <c r="H77" s="73">
        <f t="shared" si="50"/>
        <v>2640192.8199999994</v>
      </c>
      <c r="I77" s="73">
        <f t="shared" si="50"/>
        <v>201925.37</v>
      </c>
      <c r="J77" s="74"/>
      <c r="K77" s="73">
        <f t="shared" si="50"/>
        <v>104821425.91999999</v>
      </c>
      <c r="L77" s="73">
        <f t="shared" si="50"/>
        <v>100750000</v>
      </c>
      <c r="M77" s="73">
        <f t="shared" si="50"/>
        <v>6251052.130000004</v>
      </c>
      <c r="N77" s="73">
        <f>SUM(N64:N76)</f>
        <v>18522.840000000317</v>
      </c>
      <c r="O77" s="73">
        <f>SUM(O64:O76)</f>
        <v>171766.0700000003</v>
      </c>
      <c r="P77" s="73">
        <f t="shared" si="50"/>
        <v>2007860.1399999997</v>
      </c>
      <c r="Q77" s="73">
        <f t="shared" si="50"/>
        <v>2145749.02</v>
      </c>
      <c r="R77" s="73">
        <f>SUM(R64:R76)</f>
        <v>1976994.05</v>
      </c>
      <c r="S77" s="95">
        <f>SUM(S64:S76)</f>
        <v>1971153.22</v>
      </c>
      <c r="T77" s="125">
        <f t="shared" si="45"/>
        <v>0.3153314320544626</v>
      </c>
      <c r="U77" s="73">
        <f t="shared" si="50"/>
        <v>4279898.910000004</v>
      </c>
      <c r="V77" s="73">
        <f>SUM(V64:V76)</f>
        <v>4279898.910000004</v>
      </c>
      <c r="W77" s="73">
        <f>SUM(W64:W76)</f>
        <v>0</v>
      </c>
      <c r="AH77" s="54"/>
      <c r="AI77" s="54"/>
      <c r="AJ77" s="54"/>
      <c r="AK77" s="54"/>
      <c r="AL77" s="54"/>
      <c r="AM77" s="54"/>
    </row>
    <row r="78" spans="1:23" s="3" customFormat="1" ht="6" customHeight="1">
      <c r="A78" s="148"/>
      <c r="B78" s="26"/>
      <c r="C78" s="34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99"/>
      <c r="T78" s="128"/>
      <c r="U78" s="76"/>
      <c r="V78" s="76"/>
      <c r="W78" s="76"/>
    </row>
    <row r="79" spans="1:27" ht="15.75" customHeight="1">
      <c r="A79" s="147" t="s">
        <v>63</v>
      </c>
      <c r="B79" s="37"/>
      <c r="C79" s="38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100"/>
      <c r="T79" s="129"/>
      <c r="U79" s="77"/>
      <c r="V79" s="77"/>
      <c r="W79" s="77"/>
      <c r="X79" s="49"/>
      <c r="Y79" s="49"/>
      <c r="Z79" s="49"/>
      <c r="AA79" s="49"/>
    </row>
    <row r="80" spans="1:37" ht="12.75" customHeight="1">
      <c r="A80" s="144">
        <v>150167</v>
      </c>
      <c r="B80" s="35" t="s">
        <v>67</v>
      </c>
      <c r="C80" s="24" t="s">
        <v>105</v>
      </c>
      <c r="D80" s="67">
        <v>8510136.25</v>
      </c>
      <c r="E80" s="67">
        <v>1504481.66</v>
      </c>
      <c r="F80" s="67"/>
      <c r="G80" s="67">
        <v>142944.07</v>
      </c>
      <c r="H80" s="67">
        <v>123732.83</v>
      </c>
      <c r="I80" s="67">
        <v>47285.97</v>
      </c>
      <c r="J80" s="62" t="s">
        <v>126</v>
      </c>
      <c r="K80" s="69">
        <f aca="true" t="shared" si="51" ref="K80:K89">+D80+E80-F80-G80-H80-I80</f>
        <v>9700655.04</v>
      </c>
      <c r="L80" s="69">
        <v>8700000</v>
      </c>
      <c r="M80" s="70">
        <f aca="true" t="shared" si="52" ref="M80:M89">IF(K80&gt;L80,(K80-L80),0)</f>
        <v>1000655.0399999991</v>
      </c>
      <c r="N80" s="69">
        <v>313962.87</v>
      </c>
      <c r="O80" s="69"/>
      <c r="P80" s="70">
        <f aca="true" t="shared" si="53" ref="P80:P89">IF(K80&gt;L80,0,(L80-K80-O80))</f>
        <v>0</v>
      </c>
      <c r="Q80" s="8">
        <f aca="true" t="shared" si="54" ref="Q80:Q89">ROUND(P$100/M$100*M80,2)</f>
        <v>343486.91</v>
      </c>
      <c r="R80" s="8">
        <f aca="true" t="shared" si="55" ref="R80:R89">ROUND(P$100/(M$100+N$100)*(M80+N80),2)</f>
        <v>414540.35</v>
      </c>
      <c r="S80" s="88">
        <f aca="true" t="shared" si="56" ref="S80:S89">IF(Q80&gt;R80,R80,Q80)</f>
        <v>343486.91</v>
      </c>
      <c r="T80" s="123">
        <f aca="true" t="shared" si="57" ref="T80:T90">IF(M80=0,"      n.s.",+S80/M80)</f>
        <v>0.34326205962046646</v>
      </c>
      <c r="U80" s="8">
        <f aca="true" t="shared" si="58" ref="U80:U89">+M80-S80</f>
        <v>657168.1299999992</v>
      </c>
      <c r="V80" s="8">
        <f aca="true" t="shared" si="59" ref="V80:V89">+U80</f>
        <v>657168.1299999992</v>
      </c>
      <c r="W80" s="69"/>
      <c r="X80" s="84">
        <f>ROUND((H80+G80+F80)/(D80)*E80,2)</f>
        <v>47145.02</v>
      </c>
      <c r="Y80" s="54">
        <f>+X80-I80</f>
        <v>-140.95000000000437</v>
      </c>
      <c r="AK80" s="49" t="s">
        <v>133</v>
      </c>
    </row>
    <row r="81" spans="1:37" s="3" customFormat="1" ht="12.75" customHeight="1">
      <c r="A81" s="144">
        <v>150170</v>
      </c>
      <c r="B81" s="32" t="s">
        <v>69</v>
      </c>
      <c r="C81" s="33"/>
      <c r="D81" s="67">
        <v>12663728.16</v>
      </c>
      <c r="E81" s="67"/>
      <c r="F81" s="67"/>
      <c r="G81" s="67">
        <v>380601.79</v>
      </c>
      <c r="H81" s="67">
        <v>255726.11</v>
      </c>
      <c r="I81" s="67"/>
      <c r="J81" s="62" t="s">
        <v>125</v>
      </c>
      <c r="K81" s="69">
        <f t="shared" si="51"/>
        <v>12027400.260000002</v>
      </c>
      <c r="L81" s="69">
        <v>12600000</v>
      </c>
      <c r="M81" s="70">
        <f t="shared" si="52"/>
        <v>0</v>
      </c>
      <c r="N81" s="69"/>
      <c r="O81" s="69">
        <v>380601.79</v>
      </c>
      <c r="P81" s="70">
        <f t="shared" si="53"/>
        <v>191997.94999999838</v>
      </c>
      <c r="Q81" s="8">
        <f t="shared" si="54"/>
        <v>0</v>
      </c>
      <c r="R81" s="8">
        <f t="shared" si="55"/>
        <v>0</v>
      </c>
      <c r="S81" s="88">
        <f t="shared" si="56"/>
        <v>0</v>
      </c>
      <c r="T81" s="123" t="str">
        <f t="shared" si="57"/>
        <v>      n.s.</v>
      </c>
      <c r="U81" s="8">
        <f t="shared" si="58"/>
        <v>0</v>
      </c>
      <c r="V81" s="8">
        <f t="shared" si="59"/>
        <v>0</v>
      </c>
      <c r="W81" s="69"/>
      <c r="AK81" s="49" t="s">
        <v>133</v>
      </c>
    </row>
    <row r="82" spans="1:23" s="3" customFormat="1" ht="12.75" customHeight="1">
      <c r="A82" s="144">
        <v>150171</v>
      </c>
      <c r="B82" s="32" t="s">
        <v>68</v>
      </c>
      <c r="C82" s="33"/>
      <c r="D82" s="67">
        <v>5404962.87</v>
      </c>
      <c r="E82" s="67"/>
      <c r="F82" s="67"/>
      <c r="G82" s="67"/>
      <c r="H82" s="67"/>
      <c r="I82" s="67"/>
      <c r="J82" s="68"/>
      <c r="K82" s="69">
        <f t="shared" si="51"/>
        <v>5404962.87</v>
      </c>
      <c r="L82" s="69">
        <v>5070000</v>
      </c>
      <c r="M82" s="70">
        <f t="shared" si="52"/>
        <v>334962.8700000001</v>
      </c>
      <c r="N82" s="69"/>
      <c r="O82" s="69"/>
      <c r="P82" s="70">
        <f t="shared" si="53"/>
        <v>0</v>
      </c>
      <c r="Q82" s="8">
        <f t="shared" si="54"/>
        <v>114980.04</v>
      </c>
      <c r="R82" s="8">
        <f t="shared" si="55"/>
        <v>105624.32</v>
      </c>
      <c r="S82" s="88">
        <f t="shared" si="56"/>
        <v>105624.32</v>
      </c>
      <c r="T82" s="123">
        <f t="shared" si="57"/>
        <v>0.3153314276295757</v>
      </c>
      <c r="U82" s="8">
        <f t="shared" si="58"/>
        <v>229338.5500000001</v>
      </c>
      <c r="V82" s="8">
        <f t="shared" si="59"/>
        <v>229338.5500000001</v>
      </c>
      <c r="W82" s="69"/>
    </row>
    <row r="83" spans="1:23" s="3" customFormat="1" ht="12.75" customHeight="1">
      <c r="A83" s="144">
        <v>150172</v>
      </c>
      <c r="B83" s="26" t="s">
        <v>88</v>
      </c>
      <c r="C83" s="39"/>
      <c r="D83" s="67">
        <v>549239.31</v>
      </c>
      <c r="E83" s="67"/>
      <c r="F83" s="67"/>
      <c r="G83" s="67">
        <v>69337.86</v>
      </c>
      <c r="H83" s="67">
        <v>4807</v>
      </c>
      <c r="I83" s="67"/>
      <c r="J83" s="68"/>
      <c r="K83" s="69">
        <f t="shared" si="51"/>
        <v>475094.45000000007</v>
      </c>
      <c r="L83" s="69">
        <v>700000</v>
      </c>
      <c r="M83" s="70">
        <f t="shared" si="52"/>
        <v>0</v>
      </c>
      <c r="N83" s="69"/>
      <c r="O83" s="69"/>
      <c r="P83" s="70">
        <f t="shared" si="53"/>
        <v>224905.54999999993</v>
      </c>
      <c r="Q83" s="8">
        <f t="shared" si="54"/>
        <v>0</v>
      </c>
      <c r="R83" s="8">
        <f t="shared" si="55"/>
        <v>0</v>
      </c>
      <c r="S83" s="88">
        <f t="shared" si="56"/>
        <v>0</v>
      </c>
      <c r="T83" s="123" t="str">
        <f t="shared" si="57"/>
        <v>      n.s.</v>
      </c>
      <c r="U83" s="8">
        <f t="shared" si="58"/>
        <v>0</v>
      </c>
      <c r="V83" s="8">
        <f t="shared" si="59"/>
        <v>0</v>
      </c>
      <c r="W83" s="69"/>
    </row>
    <row r="84" spans="1:37" s="3" customFormat="1" ht="12.75" customHeight="1">
      <c r="A84" s="144">
        <v>150173</v>
      </c>
      <c r="B84" s="32" t="s">
        <v>70</v>
      </c>
      <c r="C84" s="33"/>
      <c r="D84" s="67">
        <v>13314345.789</v>
      </c>
      <c r="E84" s="67"/>
      <c r="F84" s="67"/>
      <c r="G84" s="67">
        <v>490413.3</v>
      </c>
      <c r="H84" s="67">
        <v>139244.77</v>
      </c>
      <c r="I84" s="67"/>
      <c r="J84" s="71" t="s">
        <v>128</v>
      </c>
      <c r="K84" s="69">
        <f t="shared" si="51"/>
        <v>12684687.719</v>
      </c>
      <c r="L84" s="69">
        <v>13000000</v>
      </c>
      <c r="M84" s="70">
        <f t="shared" si="52"/>
        <v>0</v>
      </c>
      <c r="N84" s="69">
        <f>431667.81-L84+K84</f>
        <v>116355.52900000103</v>
      </c>
      <c r="O84" s="69">
        <f>+L84-K84</f>
        <v>315312.2809999995</v>
      </c>
      <c r="P84" s="70">
        <f t="shared" si="53"/>
        <v>0</v>
      </c>
      <c r="Q84" s="8">
        <f t="shared" si="54"/>
        <v>0</v>
      </c>
      <c r="R84" s="8">
        <f t="shared" si="55"/>
        <v>36690.56</v>
      </c>
      <c r="S84" s="88">
        <f t="shared" si="56"/>
        <v>0</v>
      </c>
      <c r="T84" s="123" t="str">
        <f t="shared" si="57"/>
        <v>      n.s.</v>
      </c>
      <c r="U84" s="8">
        <f t="shared" si="58"/>
        <v>0</v>
      </c>
      <c r="V84" s="8">
        <f t="shared" si="59"/>
        <v>0</v>
      </c>
      <c r="W84" s="69"/>
      <c r="AK84" s="49" t="s">
        <v>133</v>
      </c>
    </row>
    <row r="85" spans="1:23" s="3" customFormat="1" ht="12.75" customHeight="1">
      <c r="A85" s="144">
        <v>150175</v>
      </c>
      <c r="B85" s="32" t="s">
        <v>64</v>
      </c>
      <c r="C85" s="33"/>
      <c r="D85" s="67">
        <v>24498391.94</v>
      </c>
      <c r="E85" s="67"/>
      <c r="F85" s="67"/>
      <c r="G85" s="67">
        <v>10807.13</v>
      </c>
      <c r="H85" s="67">
        <v>35839.66</v>
      </c>
      <c r="I85" s="67"/>
      <c r="J85" s="68"/>
      <c r="K85" s="69">
        <f t="shared" si="51"/>
        <v>24451745.150000002</v>
      </c>
      <c r="L85" s="69">
        <v>23900000</v>
      </c>
      <c r="M85" s="70">
        <f t="shared" si="52"/>
        <v>551745.1500000022</v>
      </c>
      <c r="N85" s="69"/>
      <c r="O85" s="69"/>
      <c r="P85" s="70">
        <f t="shared" si="53"/>
        <v>0</v>
      </c>
      <c r="Q85" s="8">
        <f t="shared" si="54"/>
        <v>189393.18</v>
      </c>
      <c r="R85" s="8">
        <f t="shared" si="55"/>
        <v>173982.59</v>
      </c>
      <c r="S85" s="88">
        <f t="shared" si="56"/>
        <v>173982.59</v>
      </c>
      <c r="T85" s="123">
        <f t="shared" si="57"/>
        <v>0.31533143517437223</v>
      </c>
      <c r="U85" s="8">
        <f t="shared" si="58"/>
        <v>377762.56000000227</v>
      </c>
      <c r="V85" s="8">
        <f t="shared" si="59"/>
        <v>377762.56000000227</v>
      </c>
      <c r="W85" s="69"/>
    </row>
    <row r="86" spans="1:37" s="5" customFormat="1" ht="12.75" customHeight="1">
      <c r="A86" s="144">
        <v>150176</v>
      </c>
      <c r="B86" s="32" t="s">
        <v>66</v>
      </c>
      <c r="C86" s="24" t="s">
        <v>106</v>
      </c>
      <c r="D86" s="67">
        <v>8884732.04</v>
      </c>
      <c r="E86" s="67">
        <v>3585065.5</v>
      </c>
      <c r="F86" s="67"/>
      <c r="G86" s="67">
        <v>266195.09</v>
      </c>
      <c r="H86" s="67">
        <v>413651.25</v>
      </c>
      <c r="I86" s="67">
        <v>274322.01</v>
      </c>
      <c r="J86" s="62" t="s">
        <v>126</v>
      </c>
      <c r="K86" s="69">
        <f t="shared" si="51"/>
        <v>11515629.19</v>
      </c>
      <c r="L86" s="69">
        <v>7900000</v>
      </c>
      <c r="M86" s="70">
        <f t="shared" si="52"/>
        <v>3615629.1899999995</v>
      </c>
      <c r="N86" s="69">
        <v>954168.35</v>
      </c>
      <c r="O86" s="69"/>
      <c r="P86" s="70">
        <f t="shared" si="53"/>
        <v>0</v>
      </c>
      <c r="Q86" s="8">
        <f t="shared" si="54"/>
        <v>1241108.32</v>
      </c>
      <c r="R86" s="8">
        <f t="shared" si="55"/>
        <v>1441000.81</v>
      </c>
      <c r="S86" s="88">
        <f t="shared" si="56"/>
        <v>1241108.32</v>
      </c>
      <c r="T86" s="123">
        <f t="shared" si="57"/>
        <v>0.34326205890599093</v>
      </c>
      <c r="U86" s="8">
        <f t="shared" si="58"/>
        <v>2374520.869999999</v>
      </c>
      <c r="V86" s="8">
        <f t="shared" si="59"/>
        <v>2374520.869999999</v>
      </c>
      <c r="W86" s="69"/>
      <c r="X86" s="84">
        <f>ROUND((H86+G86+F86)/(D86)*E86,2)</f>
        <v>274323.82</v>
      </c>
      <c r="Y86" s="54">
        <f>+X86-I86</f>
        <v>1.8099999999976717</v>
      </c>
      <c r="AK86" s="49" t="s">
        <v>133</v>
      </c>
    </row>
    <row r="87" spans="1:37" s="5" customFormat="1" ht="12.75" customHeight="1">
      <c r="A87" s="144">
        <v>150177</v>
      </c>
      <c r="B87" s="41" t="s">
        <v>71</v>
      </c>
      <c r="C87" s="4"/>
      <c r="D87" s="67">
        <v>13636763.71</v>
      </c>
      <c r="E87" s="67"/>
      <c r="F87" s="67"/>
      <c r="G87" s="67">
        <v>227292.53</v>
      </c>
      <c r="H87" s="67">
        <v>143408.01</v>
      </c>
      <c r="I87" s="67"/>
      <c r="J87" s="71" t="s">
        <v>127</v>
      </c>
      <c r="K87" s="69">
        <f t="shared" si="51"/>
        <v>13266063.170000002</v>
      </c>
      <c r="L87" s="69">
        <v>13300000</v>
      </c>
      <c r="M87" s="70">
        <f t="shared" si="52"/>
        <v>0</v>
      </c>
      <c r="N87" s="69">
        <f>200819.13-L87+K87</f>
        <v>166882.3000000026</v>
      </c>
      <c r="O87" s="69">
        <f>+L87-K87</f>
        <v>33936.82999999821</v>
      </c>
      <c r="P87" s="70">
        <f t="shared" si="53"/>
        <v>0</v>
      </c>
      <c r="Q87" s="8">
        <f t="shared" si="54"/>
        <v>0</v>
      </c>
      <c r="R87" s="8">
        <f t="shared" si="55"/>
        <v>52623.23</v>
      </c>
      <c r="S87" s="88">
        <f t="shared" si="56"/>
        <v>0</v>
      </c>
      <c r="T87" s="123" t="str">
        <f t="shared" si="57"/>
        <v>      n.s.</v>
      </c>
      <c r="U87" s="8">
        <f t="shared" si="58"/>
        <v>0</v>
      </c>
      <c r="V87" s="8">
        <f t="shared" si="59"/>
        <v>0</v>
      </c>
      <c r="W87" s="69"/>
      <c r="AK87" s="49" t="s">
        <v>133</v>
      </c>
    </row>
    <row r="88" spans="1:23" s="5" customFormat="1" ht="12.75" customHeight="1">
      <c r="A88" s="144">
        <v>150178</v>
      </c>
      <c r="B88" s="42" t="s">
        <v>65</v>
      </c>
      <c r="C88" s="43"/>
      <c r="D88" s="67">
        <v>8072365.57</v>
      </c>
      <c r="E88" s="67"/>
      <c r="F88" s="67"/>
      <c r="G88" s="67"/>
      <c r="H88" s="67"/>
      <c r="I88" s="67"/>
      <c r="J88" s="71"/>
      <c r="K88" s="69">
        <f t="shared" si="51"/>
        <v>8072365.57</v>
      </c>
      <c r="L88" s="72">
        <v>8000000</v>
      </c>
      <c r="M88" s="70">
        <f t="shared" si="52"/>
        <v>72365.5700000003</v>
      </c>
      <c r="N88" s="72"/>
      <c r="O88" s="72"/>
      <c r="P88" s="70">
        <f t="shared" si="53"/>
        <v>0</v>
      </c>
      <c r="Q88" s="8">
        <f t="shared" si="54"/>
        <v>24840.35</v>
      </c>
      <c r="R88" s="8">
        <f t="shared" si="55"/>
        <v>22819.14</v>
      </c>
      <c r="S88" s="88">
        <f t="shared" si="56"/>
        <v>22819.14</v>
      </c>
      <c r="T88" s="123">
        <f t="shared" si="57"/>
        <v>0.31533144836695</v>
      </c>
      <c r="U88" s="8">
        <f t="shared" si="58"/>
        <v>49546.4300000003</v>
      </c>
      <c r="V88" s="8">
        <f t="shared" si="59"/>
        <v>49546.4300000003</v>
      </c>
      <c r="W88" s="72"/>
    </row>
    <row r="89" spans="1:23" s="3" customFormat="1" ht="12.75" customHeight="1">
      <c r="A89" s="144">
        <v>150420</v>
      </c>
      <c r="B89" s="41" t="s">
        <v>72</v>
      </c>
      <c r="C89" s="4"/>
      <c r="D89" s="67">
        <v>3845564.6</v>
      </c>
      <c r="E89" s="67"/>
      <c r="F89" s="67"/>
      <c r="G89" s="67"/>
      <c r="H89" s="67"/>
      <c r="I89" s="67"/>
      <c r="J89" s="71"/>
      <c r="K89" s="69">
        <f t="shared" si="51"/>
        <v>3845564.6</v>
      </c>
      <c r="L89" s="72">
        <v>3800000</v>
      </c>
      <c r="M89" s="70">
        <f t="shared" si="52"/>
        <v>45564.60000000009</v>
      </c>
      <c r="N89" s="72"/>
      <c r="O89" s="72"/>
      <c r="P89" s="70">
        <f t="shared" si="53"/>
        <v>0</v>
      </c>
      <c r="Q89" s="8">
        <f t="shared" si="54"/>
        <v>15640.6</v>
      </c>
      <c r="R89" s="8">
        <f t="shared" si="55"/>
        <v>14367.95</v>
      </c>
      <c r="S89" s="88">
        <f t="shared" si="56"/>
        <v>14367.95</v>
      </c>
      <c r="T89" s="124">
        <f t="shared" si="57"/>
        <v>0.3153314195669439</v>
      </c>
      <c r="U89" s="8">
        <f t="shared" si="58"/>
        <v>31196.650000000092</v>
      </c>
      <c r="V89" s="8">
        <f t="shared" si="59"/>
        <v>31196.650000000092</v>
      </c>
      <c r="W89" s="72"/>
    </row>
    <row r="90" spans="1:23" s="3" customFormat="1" ht="15.75" customHeight="1">
      <c r="A90" s="148"/>
      <c r="B90" s="34" t="s">
        <v>14</v>
      </c>
      <c r="C90" s="27"/>
      <c r="D90" s="73">
        <f aca="true" t="shared" si="60" ref="D90:U90">SUM(D80:D89)</f>
        <v>99380230.239</v>
      </c>
      <c r="E90" s="73">
        <f t="shared" si="60"/>
        <v>5089547.16</v>
      </c>
      <c r="F90" s="73">
        <f t="shared" si="60"/>
        <v>0</v>
      </c>
      <c r="G90" s="73">
        <f t="shared" si="60"/>
        <v>1587591.77</v>
      </c>
      <c r="H90" s="73">
        <f t="shared" si="60"/>
        <v>1116409.63</v>
      </c>
      <c r="I90" s="73">
        <f t="shared" si="60"/>
        <v>321607.98</v>
      </c>
      <c r="J90" s="74"/>
      <c r="K90" s="73">
        <f t="shared" si="60"/>
        <v>101444168.019</v>
      </c>
      <c r="L90" s="73">
        <f t="shared" si="60"/>
        <v>96970000</v>
      </c>
      <c r="M90" s="73">
        <f t="shared" si="60"/>
        <v>5620922.420000002</v>
      </c>
      <c r="N90" s="73">
        <f>SUM(N80:N89)</f>
        <v>1551369.0490000036</v>
      </c>
      <c r="O90" s="73">
        <f>SUM(O80:O89)</f>
        <v>729850.9009999977</v>
      </c>
      <c r="P90" s="73">
        <f t="shared" si="60"/>
        <v>416903.4999999983</v>
      </c>
      <c r="Q90" s="73">
        <f t="shared" si="60"/>
        <v>1929449.4000000001</v>
      </c>
      <c r="R90" s="73">
        <f>SUM(R80:R89)</f>
        <v>2261648.95</v>
      </c>
      <c r="S90" s="95">
        <f>SUM(S80:S89)</f>
        <v>1901389.23</v>
      </c>
      <c r="T90" s="125">
        <f t="shared" si="57"/>
        <v>0.33826996494998757</v>
      </c>
      <c r="U90" s="73">
        <f t="shared" si="60"/>
        <v>3719533.190000001</v>
      </c>
      <c r="V90" s="73">
        <f>SUM(V80:V89)</f>
        <v>3719533.190000001</v>
      </c>
      <c r="W90" s="73">
        <f>SUM(W80:W89)</f>
        <v>0</v>
      </c>
    </row>
    <row r="91" spans="1:23" s="3" customFormat="1" ht="6" customHeight="1">
      <c r="A91" s="57"/>
      <c r="B91" s="34"/>
      <c r="C91" s="34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99"/>
      <c r="T91" s="130"/>
      <c r="U91" s="76"/>
      <c r="V91" s="76"/>
      <c r="W91" s="76"/>
    </row>
    <row r="92" spans="1:23" s="3" customFormat="1" ht="12.75">
      <c r="A92" s="57"/>
      <c r="B92" s="44" t="s">
        <v>73</v>
      </c>
      <c r="C92" s="44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100"/>
      <c r="T92" s="131"/>
      <c r="U92" s="77"/>
      <c r="V92" s="77"/>
      <c r="W92" s="77"/>
    </row>
    <row r="93" spans="1:23" s="3" customFormat="1" ht="12.75">
      <c r="A93" s="57"/>
      <c r="B93" s="34" t="s">
        <v>74</v>
      </c>
      <c r="C93" s="34"/>
      <c r="D93" s="69">
        <f aca="true" t="shared" si="61" ref="D93:U93">D11</f>
        <v>100583608.28</v>
      </c>
      <c r="E93" s="69">
        <f t="shared" si="61"/>
        <v>1292965.93</v>
      </c>
      <c r="F93" s="69">
        <f t="shared" si="61"/>
        <v>0</v>
      </c>
      <c r="G93" s="69">
        <f t="shared" si="61"/>
        <v>1106924.21</v>
      </c>
      <c r="H93" s="69">
        <f>H11</f>
        <v>1960492.33</v>
      </c>
      <c r="I93" s="69">
        <f t="shared" si="61"/>
        <v>16872.02</v>
      </c>
      <c r="J93" s="66"/>
      <c r="K93" s="69">
        <f t="shared" si="61"/>
        <v>98792285.65</v>
      </c>
      <c r="L93" s="69">
        <f t="shared" si="61"/>
        <v>99673000</v>
      </c>
      <c r="M93" s="69">
        <f t="shared" si="61"/>
        <v>2296209.820000007</v>
      </c>
      <c r="N93" s="69">
        <f>N11</f>
        <v>0</v>
      </c>
      <c r="O93" s="69">
        <f>O11</f>
        <v>0</v>
      </c>
      <c r="P93" s="69">
        <f t="shared" si="61"/>
        <v>3176924.17</v>
      </c>
      <c r="Q93" s="69">
        <f t="shared" si="61"/>
        <v>788201.72</v>
      </c>
      <c r="R93" s="69">
        <f>R11</f>
        <v>724067.13</v>
      </c>
      <c r="S93" s="88">
        <f>S11</f>
        <v>724067.13</v>
      </c>
      <c r="T93" s="123">
        <f aca="true" t="shared" si="62" ref="T93:T100">IF(M93=0,"      n.s.",+S93/M93)</f>
        <v>0.31533143168946026</v>
      </c>
      <c r="U93" s="69">
        <f t="shared" si="61"/>
        <v>1572142.690000007</v>
      </c>
      <c r="V93" s="69">
        <f>V11</f>
        <v>1572142.690000007</v>
      </c>
      <c r="W93" s="69">
        <f>W11</f>
        <v>0</v>
      </c>
    </row>
    <row r="94" spans="1:23" s="3" customFormat="1" ht="12.75">
      <c r="A94" s="57"/>
      <c r="B94" s="34" t="s">
        <v>75</v>
      </c>
      <c r="C94" s="34"/>
      <c r="D94" s="78">
        <f aca="true" t="shared" si="63" ref="D94:U94">D19</f>
        <v>37929128.17</v>
      </c>
      <c r="E94" s="78">
        <f t="shared" si="63"/>
        <v>3333263.88</v>
      </c>
      <c r="F94" s="78">
        <f t="shared" si="63"/>
        <v>0</v>
      </c>
      <c r="G94" s="78">
        <f t="shared" si="63"/>
        <v>453346.0958</v>
      </c>
      <c r="H94" s="78">
        <f>H19</f>
        <v>483151.20180000004</v>
      </c>
      <c r="I94" s="78">
        <f t="shared" si="63"/>
        <v>123464.49</v>
      </c>
      <c r="J94" s="77"/>
      <c r="K94" s="78">
        <f t="shared" si="63"/>
        <v>40202430.2624</v>
      </c>
      <c r="L94" s="78">
        <f t="shared" si="63"/>
        <v>39070000</v>
      </c>
      <c r="M94" s="78">
        <f t="shared" si="63"/>
        <v>1253355.0453000013</v>
      </c>
      <c r="N94" s="78">
        <f>N19</f>
        <v>0</v>
      </c>
      <c r="O94" s="78">
        <f>O19</f>
        <v>0</v>
      </c>
      <c r="P94" s="78">
        <f t="shared" si="63"/>
        <v>120924.78290000069</v>
      </c>
      <c r="Q94" s="78">
        <f t="shared" si="63"/>
        <v>430229.24</v>
      </c>
      <c r="R94" s="78">
        <f>R19</f>
        <v>395222.24</v>
      </c>
      <c r="S94" s="101">
        <f>S19</f>
        <v>395222.24</v>
      </c>
      <c r="T94" s="123">
        <f t="shared" si="62"/>
        <v>0.3153314310115536</v>
      </c>
      <c r="U94" s="78">
        <f t="shared" si="63"/>
        <v>858132.8053000013</v>
      </c>
      <c r="V94" s="78">
        <f>V19</f>
        <v>858132.8053000013</v>
      </c>
      <c r="W94" s="78">
        <f>W19</f>
        <v>0</v>
      </c>
    </row>
    <row r="95" spans="1:23" s="3" customFormat="1" ht="12.75">
      <c r="A95" s="57"/>
      <c r="B95" s="34" t="s">
        <v>76</v>
      </c>
      <c r="C95" s="34"/>
      <c r="D95" s="78">
        <f aca="true" t="shared" si="64" ref="D95:U95">D35</f>
        <v>126437167.64999999</v>
      </c>
      <c r="E95" s="78">
        <f t="shared" si="64"/>
        <v>10266908.889999999</v>
      </c>
      <c r="F95" s="78">
        <f t="shared" si="64"/>
        <v>355018.85000000003</v>
      </c>
      <c r="G95" s="78">
        <f t="shared" si="64"/>
        <v>2077553.26</v>
      </c>
      <c r="H95" s="78">
        <f>H35</f>
        <v>2836114.5599999996</v>
      </c>
      <c r="I95" s="78">
        <f t="shared" si="64"/>
        <v>731798.12</v>
      </c>
      <c r="J95" s="77"/>
      <c r="K95" s="78">
        <f t="shared" si="64"/>
        <v>130703591.75</v>
      </c>
      <c r="L95" s="78">
        <f t="shared" si="64"/>
        <v>120200000</v>
      </c>
      <c r="M95" s="78">
        <f t="shared" si="64"/>
        <v>11959845.230000004</v>
      </c>
      <c r="N95" s="78">
        <f>N35</f>
        <v>0</v>
      </c>
      <c r="O95" s="78">
        <f>O35</f>
        <v>0</v>
      </c>
      <c r="P95" s="78">
        <f t="shared" si="64"/>
        <v>1456253.4800000018</v>
      </c>
      <c r="Q95" s="78">
        <f t="shared" si="64"/>
        <v>4105361.1100000003</v>
      </c>
      <c r="R95" s="78">
        <f>R35</f>
        <v>3771315.14</v>
      </c>
      <c r="S95" s="101">
        <f>S35</f>
        <v>3771315.14</v>
      </c>
      <c r="T95" s="123">
        <f t="shared" si="62"/>
        <v>0.3153314334319357</v>
      </c>
      <c r="U95" s="78">
        <f t="shared" si="64"/>
        <v>8188530.0900000045</v>
      </c>
      <c r="V95" s="78">
        <f>V35</f>
        <v>8188530.0900000045</v>
      </c>
      <c r="W95" s="78">
        <f>W35</f>
        <v>0</v>
      </c>
    </row>
    <row r="96" spans="1:23" s="3" customFormat="1" ht="12.75" customHeight="1">
      <c r="A96" s="57"/>
      <c r="B96" s="34" t="s">
        <v>77</v>
      </c>
      <c r="C96" s="34"/>
      <c r="D96" s="78">
        <f aca="true" t="shared" si="65" ref="D96:U96">D54</f>
        <v>138576714.36999997</v>
      </c>
      <c r="E96" s="78">
        <f t="shared" si="65"/>
        <v>3375454.94</v>
      </c>
      <c r="F96" s="78">
        <f t="shared" si="65"/>
        <v>433919.5200000002</v>
      </c>
      <c r="G96" s="78">
        <f t="shared" si="65"/>
        <v>759576.3980000002</v>
      </c>
      <c r="H96" s="78">
        <f>H54</f>
        <v>2729186.6000000006</v>
      </c>
      <c r="I96" s="78">
        <f t="shared" si="65"/>
        <v>217611.13000000006</v>
      </c>
      <c r="J96" s="77"/>
      <c r="K96" s="78">
        <f t="shared" si="65"/>
        <v>137811875.662</v>
      </c>
      <c r="L96" s="78">
        <f t="shared" si="65"/>
        <v>138250000</v>
      </c>
      <c r="M96" s="78">
        <f t="shared" si="65"/>
        <v>3682452.6740000015</v>
      </c>
      <c r="N96" s="78">
        <f>N54</f>
        <v>1208772.84</v>
      </c>
      <c r="O96" s="78">
        <f>O54</f>
        <v>279155.89</v>
      </c>
      <c r="P96" s="78">
        <f t="shared" si="65"/>
        <v>3841421.122000001</v>
      </c>
      <c r="Q96" s="78">
        <f t="shared" si="65"/>
        <v>1264046.29</v>
      </c>
      <c r="R96" s="78">
        <f>R54</f>
        <v>1542357.1500000001</v>
      </c>
      <c r="S96" s="101">
        <f>S54</f>
        <v>1161536.96</v>
      </c>
      <c r="T96" s="123">
        <f t="shared" si="62"/>
        <v>0.3154248167806866</v>
      </c>
      <c r="U96" s="78">
        <f t="shared" si="65"/>
        <v>2520915.714000002</v>
      </c>
      <c r="V96" s="78">
        <f>V54</f>
        <v>2520915.714000002</v>
      </c>
      <c r="W96" s="78">
        <f>W54</f>
        <v>2777472.37</v>
      </c>
    </row>
    <row r="97" spans="1:23" s="3" customFormat="1" ht="12.75">
      <c r="A97" s="57"/>
      <c r="B97" s="34" t="s">
        <v>78</v>
      </c>
      <c r="C97" s="34"/>
      <c r="D97" s="78">
        <f aca="true" t="shared" si="66" ref="D97:U97">D61</f>
        <v>55017599.81</v>
      </c>
      <c r="E97" s="78">
        <f t="shared" si="66"/>
        <v>707744.72368</v>
      </c>
      <c r="F97" s="78">
        <f t="shared" si="66"/>
        <v>150821.71</v>
      </c>
      <c r="G97" s="78">
        <f t="shared" si="66"/>
        <v>572593.38</v>
      </c>
      <c r="H97" s="78">
        <f>H61</f>
        <v>643518.2899999999</v>
      </c>
      <c r="I97" s="78">
        <f t="shared" si="66"/>
        <v>59405.27</v>
      </c>
      <c r="J97" s="77"/>
      <c r="K97" s="78">
        <f t="shared" si="66"/>
        <v>54299005.88368</v>
      </c>
      <c r="L97" s="78">
        <f t="shared" si="66"/>
        <v>52800000</v>
      </c>
      <c r="M97" s="78">
        <f t="shared" si="66"/>
        <v>1838044.9836799982</v>
      </c>
      <c r="N97" s="78">
        <f>N61</f>
        <v>135634.64</v>
      </c>
      <c r="O97" s="78">
        <f>O61</f>
        <v>65358.41</v>
      </c>
      <c r="P97" s="78">
        <f t="shared" si="66"/>
        <v>273680.68999999773</v>
      </c>
      <c r="Q97" s="78">
        <f t="shared" si="66"/>
        <v>630931.1</v>
      </c>
      <c r="R97" s="78">
        <f>R61</f>
        <v>622363.22</v>
      </c>
      <c r="S97" s="101">
        <f>S61</f>
        <v>591370.33</v>
      </c>
      <c r="T97" s="123">
        <f t="shared" si="62"/>
        <v>0.3217387687737663</v>
      </c>
      <c r="U97" s="78">
        <f t="shared" si="66"/>
        <v>1246674.6536799981</v>
      </c>
      <c r="V97" s="78">
        <f>V61</f>
        <v>1246674.6536799981</v>
      </c>
      <c r="W97" s="78">
        <f>W61</f>
        <v>0</v>
      </c>
    </row>
    <row r="98" spans="1:23" s="3" customFormat="1" ht="12.75">
      <c r="A98" s="57"/>
      <c r="B98" s="34" t="s">
        <v>79</v>
      </c>
      <c r="C98" s="34"/>
      <c r="D98" s="78">
        <f aca="true" t="shared" si="67" ref="D98:U98">D77</f>
        <v>103646165.72999999</v>
      </c>
      <c r="E98" s="78">
        <f t="shared" si="67"/>
        <v>4892498.529999999</v>
      </c>
      <c r="F98" s="78">
        <f t="shared" si="67"/>
        <v>0</v>
      </c>
      <c r="G98" s="78">
        <f t="shared" si="67"/>
        <v>875120.1499999999</v>
      </c>
      <c r="H98" s="78">
        <f>H77</f>
        <v>2640192.8199999994</v>
      </c>
      <c r="I98" s="78">
        <f t="shared" si="67"/>
        <v>201925.37</v>
      </c>
      <c r="J98" s="77"/>
      <c r="K98" s="78">
        <f t="shared" si="67"/>
        <v>104821425.91999999</v>
      </c>
      <c r="L98" s="78">
        <f t="shared" si="67"/>
        <v>100750000</v>
      </c>
      <c r="M98" s="78">
        <f t="shared" si="67"/>
        <v>6251052.130000004</v>
      </c>
      <c r="N98" s="78">
        <f>N77</f>
        <v>18522.840000000317</v>
      </c>
      <c r="O98" s="78">
        <f>O77</f>
        <v>171766.0700000003</v>
      </c>
      <c r="P98" s="78">
        <f t="shared" si="67"/>
        <v>2007860.1399999997</v>
      </c>
      <c r="Q98" s="78">
        <f t="shared" si="67"/>
        <v>2145749.02</v>
      </c>
      <c r="R98" s="78">
        <f>R77</f>
        <v>1976994.05</v>
      </c>
      <c r="S98" s="101">
        <f>S77</f>
        <v>1971153.22</v>
      </c>
      <c r="T98" s="123">
        <f t="shared" si="62"/>
        <v>0.3153314320544626</v>
      </c>
      <c r="U98" s="78">
        <f t="shared" si="67"/>
        <v>4279898.910000004</v>
      </c>
      <c r="V98" s="78">
        <f>V77</f>
        <v>4279898.910000004</v>
      </c>
      <c r="W98" s="78">
        <f>W77</f>
        <v>0</v>
      </c>
    </row>
    <row r="99" spans="1:23" s="3" customFormat="1" ht="12.75" customHeight="1">
      <c r="A99" s="57"/>
      <c r="B99" s="45" t="s">
        <v>80</v>
      </c>
      <c r="C99" s="34"/>
      <c r="D99" s="72">
        <f aca="true" t="shared" si="68" ref="D99:U99">D90</f>
        <v>99380230.239</v>
      </c>
      <c r="E99" s="72">
        <f t="shared" si="68"/>
        <v>5089547.16</v>
      </c>
      <c r="F99" s="72">
        <f t="shared" si="68"/>
        <v>0</v>
      </c>
      <c r="G99" s="72">
        <f t="shared" si="68"/>
        <v>1587591.77</v>
      </c>
      <c r="H99" s="72">
        <f>H90</f>
        <v>1116409.63</v>
      </c>
      <c r="I99" s="72">
        <f t="shared" si="68"/>
        <v>321607.98</v>
      </c>
      <c r="J99" s="79"/>
      <c r="K99" s="72">
        <f t="shared" si="68"/>
        <v>101444168.019</v>
      </c>
      <c r="L99" s="72">
        <f t="shared" si="68"/>
        <v>96970000</v>
      </c>
      <c r="M99" s="72">
        <f t="shared" si="68"/>
        <v>5620922.420000002</v>
      </c>
      <c r="N99" s="72">
        <f>N90</f>
        <v>1551369.0490000036</v>
      </c>
      <c r="O99" s="72">
        <f>O90</f>
        <v>729850.9009999977</v>
      </c>
      <c r="P99" s="72">
        <f t="shared" si="68"/>
        <v>416903.4999999983</v>
      </c>
      <c r="Q99" s="72">
        <f t="shared" si="68"/>
        <v>1929449.4000000001</v>
      </c>
      <c r="R99" s="72">
        <f>R90</f>
        <v>2261648.95</v>
      </c>
      <c r="S99" s="102">
        <f>S90</f>
        <v>1901389.23</v>
      </c>
      <c r="T99" s="124">
        <f t="shared" si="62"/>
        <v>0.33826996494998757</v>
      </c>
      <c r="U99" s="72">
        <f t="shared" si="68"/>
        <v>3719533.190000001</v>
      </c>
      <c r="V99" s="72">
        <f>V90</f>
        <v>3719533.190000001</v>
      </c>
      <c r="W99" s="72">
        <f>W90</f>
        <v>0</v>
      </c>
    </row>
    <row r="100" spans="1:23" ht="21.75" customHeight="1">
      <c r="A100" s="59"/>
      <c r="B100" s="46" t="s">
        <v>81</v>
      </c>
      <c r="C100" s="47"/>
      <c r="D100" s="80">
        <f aca="true" t="shared" si="69" ref="D100:U100">D93+D94+D95+D96+D97+D98+D99</f>
        <v>661570614.2489998</v>
      </c>
      <c r="E100" s="80">
        <f t="shared" si="69"/>
        <v>28958384.05368</v>
      </c>
      <c r="F100" s="80">
        <f t="shared" si="69"/>
        <v>939760.0800000002</v>
      </c>
      <c r="G100" s="80">
        <f t="shared" si="69"/>
        <v>7432705.263799999</v>
      </c>
      <c r="H100" s="80">
        <f t="shared" si="69"/>
        <v>12409065.431799997</v>
      </c>
      <c r="I100" s="80">
        <f t="shared" si="69"/>
        <v>1672684.38</v>
      </c>
      <c r="J100" s="81"/>
      <c r="K100" s="80">
        <f t="shared" si="69"/>
        <v>668074783.14708</v>
      </c>
      <c r="L100" s="80">
        <f t="shared" si="69"/>
        <v>647713000</v>
      </c>
      <c r="M100" s="80">
        <f t="shared" si="69"/>
        <v>32901882.302980017</v>
      </c>
      <c r="N100" s="80">
        <f>N93+N94+N95+N96+N97+N98+N99</f>
        <v>2914299.3690000037</v>
      </c>
      <c r="O100" s="80">
        <f>O93+O94+O95+O96+O97+O98+O99</f>
        <v>1246131.270999998</v>
      </c>
      <c r="P100" s="80">
        <f t="shared" si="69"/>
        <v>11293967.884899998</v>
      </c>
      <c r="Q100" s="80">
        <f t="shared" si="69"/>
        <v>11293967.88</v>
      </c>
      <c r="R100" s="80">
        <f>R93+R94+R95+R96+R97+R98+R99</f>
        <v>11293967.879999999</v>
      </c>
      <c r="S100" s="103">
        <f>S93+S94+S95+S96+S97+S98+S99</f>
        <v>10516054.25</v>
      </c>
      <c r="T100" s="125">
        <f t="shared" si="62"/>
        <v>0.31961862100052346</v>
      </c>
      <c r="U100" s="80">
        <f t="shared" si="69"/>
        <v>22385828.052980017</v>
      </c>
      <c r="V100" s="80">
        <f>V93+V94+V95+V96+V97+V98+V99</f>
        <v>22385828.052980017</v>
      </c>
      <c r="W100" s="80">
        <f>W93+W94+W95+W96+W97+W98+W99</f>
        <v>2777472.37</v>
      </c>
    </row>
    <row r="101" spans="1:22" ht="12.75">
      <c r="A101" s="60"/>
      <c r="J101" s="54"/>
      <c r="M101" s="6"/>
      <c r="N101" s="6"/>
      <c r="O101" s="6"/>
      <c r="P101" s="6"/>
      <c r="Q101" s="6"/>
      <c r="R101" s="6"/>
      <c r="S101" s="6">
        <f>+R100-S100</f>
        <v>777913.629999999</v>
      </c>
      <c r="T101" s="6"/>
      <c r="U101" s="85" t="s">
        <v>113</v>
      </c>
      <c r="V101" s="86">
        <f>+K100-V100-L100+O100+S101</f>
        <v>-0.004900123691186309</v>
      </c>
    </row>
    <row r="102" spans="1:21" ht="12.75">
      <c r="A102" s="60"/>
      <c r="J102" s="54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2.75">
      <c r="A103" s="60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2.75">
      <c r="A104" s="60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2.75">
      <c r="A105" s="60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2.75">
      <c r="A106" s="60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2.75">
      <c r="A107" s="60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2.75">
      <c r="A108" s="60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2.75">
      <c r="A109" s="60"/>
      <c r="M109" s="6"/>
      <c r="N109" s="6"/>
      <c r="O109" s="6"/>
      <c r="P109" s="6"/>
      <c r="Q109" s="6"/>
      <c r="R109" s="6"/>
      <c r="S109" s="6"/>
      <c r="T109" s="6"/>
      <c r="U109" s="6"/>
    </row>
    <row r="110" spans="13:21" ht="12.75">
      <c r="M110" s="6"/>
      <c r="N110" s="6"/>
      <c r="O110" s="6"/>
      <c r="P110" s="6"/>
      <c r="Q110" s="6"/>
      <c r="R110" s="6"/>
      <c r="S110" s="6"/>
      <c r="T110" s="6"/>
      <c r="U110" s="6"/>
    </row>
    <row r="111" spans="13:21" ht="12.75">
      <c r="M111" s="6"/>
      <c r="N111" s="6"/>
      <c r="O111" s="6"/>
      <c r="P111" s="6"/>
      <c r="Q111" s="6"/>
      <c r="R111" s="6"/>
      <c r="S111" s="6"/>
      <c r="T111" s="6"/>
      <c r="U111" s="6"/>
    </row>
    <row r="112" spans="13:21" ht="12.75">
      <c r="M112" s="6"/>
      <c r="N112" s="6"/>
      <c r="O112" s="6"/>
      <c r="P112" s="6"/>
      <c r="Q112" s="6"/>
      <c r="R112" s="6"/>
      <c r="S112" s="6"/>
      <c r="T112" s="6"/>
      <c r="U112" s="6"/>
    </row>
    <row r="113" spans="13:21" ht="12.75">
      <c r="M113" s="6"/>
      <c r="N113" s="6"/>
      <c r="O113" s="6"/>
      <c r="P113" s="6"/>
      <c r="Q113" s="6"/>
      <c r="R113" s="6"/>
      <c r="S113" s="6"/>
      <c r="T113" s="6"/>
      <c r="U113" s="6"/>
    </row>
    <row r="114" spans="13:21" ht="12.75">
      <c r="M114" s="6"/>
      <c r="N114" s="6"/>
      <c r="O114" s="6"/>
      <c r="P114" s="6"/>
      <c r="Q114" s="6"/>
      <c r="R114" s="6"/>
      <c r="S114" s="6"/>
      <c r="T114" s="6"/>
      <c r="U114" s="6"/>
    </row>
    <row r="115" spans="13:21" ht="12.75">
      <c r="M115" s="6"/>
      <c r="N115" s="6"/>
      <c r="O115" s="6"/>
      <c r="P115" s="6"/>
      <c r="Q115" s="6"/>
      <c r="R115" s="6"/>
      <c r="S115" s="6"/>
      <c r="T115" s="6"/>
      <c r="U115" s="6"/>
    </row>
    <row r="116" spans="13:21" ht="12.75">
      <c r="M116" s="6"/>
      <c r="N116" s="6"/>
      <c r="O116" s="6"/>
      <c r="P116" s="6"/>
      <c r="Q116" s="6"/>
      <c r="R116" s="6"/>
      <c r="S116" s="6"/>
      <c r="T116" s="6"/>
      <c r="U116" s="6"/>
    </row>
    <row r="117" spans="13:21" ht="12.75">
      <c r="M117" s="6"/>
      <c r="N117" s="6"/>
      <c r="O117" s="6"/>
      <c r="P117" s="6"/>
      <c r="Q117" s="6"/>
      <c r="R117" s="6"/>
      <c r="S117" s="6"/>
      <c r="T117" s="6"/>
      <c r="U117" s="6"/>
    </row>
    <row r="118" spans="13:21" ht="12.75">
      <c r="M118" s="6"/>
      <c r="N118" s="6"/>
      <c r="O118" s="6"/>
      <c r="P118" s="6"/>
      <c r="Q118" s="6"/>
      <c r="R118" s="6"/>
      <c r="S118" s="6"/>
      <c r="T118" s="6"/>
      <c r="U118" s="6"/>
    </row>
    <row r="119" spans="13:21" ht="12.75">
      <c r="M119" s="6"/>
      <c r="N119" s="6"/>
      <c r="O119" s="6"/>
      <c r="P119" s="6"/>
      <c r="Q119" s="6"/>
      <c r="R119" s="6"/>
      <c r="S119" s="6"/>
      <c r="T119" s="6"/>
      <c r="U119" s="6"/>
    </row>
    <row r="120" spans="13:21" ht="12.75">
      <c r="M120" s="6"/>
      <c r="N120" s="6"/>
      <c r="O120" s="6"/>
      <c r="P120" s="6"/>
      <c r="Q120" s="6"/>
      <c r="R120" s="6"/>
      <c r="S120" s="6"/>
      <c r="T120" s="6"/>
      <c r="U120" s="6"/>
    </row>
    <row r="121" spans="13:21" ht="12.75">
      <c r="M121" s="6"/>
      <c r="N121" s="6"/>
      <c r="O121" s="6"/>
      <c r="P121" s="6"/>
      <c r="Q121" s="6"/>
      <c r="R121" s="6"/>
      <c r="S121" s="6"/>
      <c r="T121" s="6"/>
      <c r="U121" s="6"/>
    </row>
  </sheetData>
  <sheetProtection/>
  <printOptions gridLines="1" horizontalCentered="1" verticalCentered="1"/>
  <pageMargins left="0.3937007874015748" right="0" top="0.4330708661417323" bottom="0.3937007874015748" header="0.1968503937007874" footer="0.1968503937007874"/>
  <pageSetup fitToHeight="2" fitToWidth="2" horizontalDpi="300" verticalDpi="300" orientation="landscape" paperSize="9" scale="59" r:id="rId3"/>
  <headerFooter alignWithMargins="0">
    <oddHeader>&amp;L&amp;20Case di Cura: fatturato 2010 liquidabile dopo i controlli e compensazione regionale uniforme ai sensi del D.C. n. 65/2010&amp;R&amp;22ALL. A</oddHeader>
    <oddFooter>&amp;R&amp;P di &amp;N</oddFooter>
  </headerFooter>
  <rowBreaks count="1" manualBreakCount="1">
    <brk id="61" max="21" man="1"/>
  </rowBreaks>
  <colBreaks count="1" manualBreakCount="1">
    <brk id="10" max="99" man="1"/>
  </colBreaks>
  <ignoredErrors>
    <ignoredError sqref="D43 I30 I2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C121"/>
  <sheetViews>
    <sheetView zoomScale="75" zoomScaleNormal="75" workbookViewId="0" topLeftCell="A1">
      <pane xSplit="2" ySplit="2" topLeftCell="Q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U4" sqref="U4"/>
    </sheetView>
  </sheetViews>
  <sheetFormatPr defaultColWidth="9.140625" defaultRowHeight="12.75"/>
  <cols>
    <col min="1" max="1" width="7.7109375" style="7" customWidth="1"/>
    <col min="2" max="2" width="46.140625" style="2" customWidth="1"/>
    <col min="3" max="3" width="9.00390625" style="2" customWidth="1"/>
    <col min="4" max="4" width="13.8515625" style="6" customWidth="1"/>
    <col min="5" max="9" width="13.7109375" style="6" customWidth="1"/>
    <col min="10" max="10" width="44.7109375" style="6" customWidth="1"/>
    <col min="11" max="12" width="13.8515625" style="6" customWidth="1"/>
    <col min="13" max="13" width="12.7109375" style="2" customWidth="1"/>
    <col min="14" max="15" width="11.7109375" style="2" customWidth="1"/>
    <col min="16" max="17" width="12.7109375" style="2" customWidth="1"/>
    <col min="18" max="19" width="11.7109375" style="2" customWidth="1"/>
    <col min="20" max="20" width="10.7109375" style="2" customWidth="1"/>
    <col min="21" max="21" width="16.00390625" style="2" customWidth="1"/>
    <col min="22" max="22" width="7.8515625" style="2" customWidth="1"/>
    <col min="23" max="24" width="12.7109375" style="2" customWidth="1"/>
    <col min="25" max="25" width="13.8515625" style="2" customWidth="1"/>
    <col min="26" max="26" width="11.7109375" style="2" customWidth="1"/>
    <col min="27" max="27" width="13.421875" style="2" customWidth="1"/>
    <col min="28" max="16384" width="11.57421875" style="2" customWidth="1"/>
  </cols>
  <sheetData>
    <row r="1" spans="1:26" s="1" customFormat="1" ht="42.75" customHeight="1">
      <c r="A1" s="10"/>
      <c r="B1" s="11" t="s">
        <v>0</v>
      </c>
      <c r="C1" s="12"/>
      <c r="D1" s="13" t="s">
        <v>1</v>
      </c>
      <c r="E1" s="13" t="s">
        <v>2</v>
      </c>
      <c r="F1" s="13" t="s">
        <v>91</v>
      </c>
      <c r="G1" s="13" t="s">
        <v>3</v>
      </c>
      <c r="H1" s="13" t="s">
        <v>4</v>
      </c>
      <c r="I1" s="13" t="s">
        <v>108</v>
      </c>
      <c r="J1" s="13"/>
      <c r="K1" s="82" t="s">
        <v>109</v>
      </c>
      <c r="L1" s="13" t="s">
        <v>110</v>
      </c>
      <c r="M1" s="83" t="s">
        <v>144</v>
      </c>
      <c r="N1" s="94" t="s">
        <v>136</v>
      </c>
      <c r="O1" s="94" t="s">
        <v>137</v>
      </c>
      <c r="P1" s="94" t="s">
        <v>138</v>
      </c>
      <c r="Q1" s="94" t="s">
        <v>156</v>
      </c>
      <c r="R1" s="83" t="s">
        <v>148</v>
      </c>
      <c r="S1" s="82" t="s">
        <v>147</v>
      </c>
      <c r="T1" s="94" t="s">
        <v>139</v>
      </c>
      <c r="U1" s="94" t="s">
        <v>141</v>
      </c>
      <c r="V1" s="94"/>
      <c r="W1" s="82" t="s">
        <v>145</v>
      </c>
      <c r="X1" s="13" t="s">
        <v>112</v>
      </c>
      <c r="Y1" s="13" t="s">
        <v>111</v>
      </c>
      <c r="Z1" s="137"/>
    </row>
    <row r="2" spans="1:40" s="1" customFormat="1" ht="99.75" customHeight="1">
      <c r="A2" s="14" t="s">
        <v>5</v>
      </c>
      <c r="B2" s="52" t="s">
        <v>101</v>
      </c>
      <c r="C2" s="15" t="s">
        <v>152</v>
      </c>
      <c r="D2" s="16" t="s">
        <v>96</v>
      </c>
      <c r="E2" s="17" t="s">
        <v>114</v>
      </c>
      <c r="F2" s="19" t="s">
        <v>92</v>
      </c>
      <c r="G2" s="19" t="s">
        <v>93</v>
      </c>
      <c r="H2" s="19" t="s">
        <v>94</v>
      </c>
      <c r="I2" s="17" t="s">
        <v>107</v>
      </c>
      <c r="J2" s="53" t="s">
        <v>102</v>
      </c>
      <c r="K2" s="16" t="s">
        <v>95</v>
      </c>
      <c r="L2" s="18" t="s">
        <v>89</v>
      </c>
      <c r="M2" s="19" t="s">
        <v>98</v>
      </c>
      <c r="N2" s="17" t="s">
        <v>135</v>
      </c>
      <c r="O2" s="17" t="s">
        <v>134</v>
      </c>
      <c r="P2" s="17" t="s">
        <v>149</v>
      </c>
      <c r="Q2" s="141" t="s">
        <v>157</v>
      </c>
      <c r="R2" s="17" t="s">
        <v>150</v>
      </c>
      <c r="S2" s="17" t="s">
        <v>142</v>
      </c>
      <c r="T2" s="17" t="s">
        <v>140</v>
      </c>
      <c r="U2" s="19" t="s">
        <v>158</v>
      </c>
      <c r="V2" s="113" t="s">
        <v>151</v>
      </c>
      <c r="W2" s="19" t="s">
        <v>99</v>
      </c>
      <c r="X2" s="55" t="s">
        <v>100</v>
      </c>
      <c r="Y2" s="17" t="s">
        <v>166</v>
      </c>
      <c r="Z2" s="138" t="s">
        <v>155</v>
      </c>
      <c r="AN2" s="1" t="s">
        <v>132</v>
      </c>
    </row>
    <row r="3" spans="1:26" ht="15.75" customHeight="1">
      <c r="A3" s="20" t="s">
        <v>6</v>
      </c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139"/>
    </row>
    <row r="4" spans="1:42" ht="12.75" customHeight="1">
      <c r="A4" s="61">
        <v>150143</v>
      </c>
      <c r="B4" s="23" t="s">
        <v>8</v>
      </c>
      <c r="C4" s="24" t="s">
        <v>105</v>
      </c>
      <c r="D4" s="50">
        <v>7326809.44</v>
      </c>
      <c r="E4" s="50">
        <v>1292965.93</v>
      </c>
      <c r="F4" s="50">
        <v>0</v>
      </c>
      <c r="G4" s="50">
        <v>66772.09</v>
      </c>
      <c r="H4" s="50">
        <v>28420.53</v>
      </c>
      <c r="I4" s="91">
        <v>16872.02</v>
      </c>
      <c r="J4" s="62"/>
      <c r="K4" s="8">
        <f aca="true" t="shared" si="0" ref="K4:K10">+D4+E4-F4-G4-H4-I4</f>
        <v>8507710.730000002</v>
      </c>
      <c r="L4" s="8">
        <v>7800000</v>
      </c>
      <c r="M4" s="63">
        <f aca="true" t="shared" si="1" ref="M4:M10">IF(K4&gt;L4,(K4-L4),0)</f>
        <v>707710.7300000023</v>
      </c>
      <c r="N4" s="8"/>
      <c r="O4" s="8"/>
      <c r="P4" s="142">
        <f>+M4/M$11*P$11</f>
        <v>707710.7300000023</v>
      </c>
      <c r="Q4" s="142">
        <f>+(M4+N4)/(M$11+N$11)*Q$11</f>
        <v>707710.7300000023</v>
      </c>
      <c r="R4" s="63">
        <f>'All A - ESITO 2010 comp reg'!P4/'All A - ESITO 2010 comp reg'!P$11*'ALL B - ESITO 2010 comp ASL'!R$11</f>
        <v>0</v>
      </c>
      <c r="S4" s="8">
        <f>ROUND(R$100/(M$100-P$100)*(M4-P4),2)</f>
        <v>0</v>
      </c>
      <c r="T4" s="8">
        <f>+Z4/$Z$100*$AA$100</f>
        <v>0</v>
      </c>
      <c r="U4" s="88">
        <f>IF((P4+S4)&lt;(Q4+T4),P4+S4,Q4+T4)</f>
        <v>707710.7300000023</v>
      </c>
      <c r="V4" s="114">
        <f>IF(M4=0,"      n.s.",+U4/M4)</f>
        <v>1</v>
      </c>
      <c r="W4" s="8">
        <f aca="true" t="shared" si="2" ref="W4:W10">+M4-U4</f>
        <v>0</v>
      </c>
      <c r="X4" s="8">
        <f aca="true" t="shared" si="3" ref="X4:X10">+W4</f>
        <v>0</v>
      </c>
      <c r="Y4" s="8"/>
      <c r="Z4" s="8">
        <f>+M4+N4-P4-S4</f>
        <v>0</v>
      </c>
      <c r="AA4" s="84">
        <f>ROUND((H4+G4+F4)/(D4)*E4,2)</f>
        <v>16798.69</v>
      </c>
      <c r="AB4" s="54">
        <f>+AA4-I4</f>
        <v>-73.33000000000175</v>
      </c>
      <c r="AD4" s="87"/>
      <c r="AK4" s="87"/>
      <c r="AL4" s="87"/>
      <c r="AM4" s="87"/>
      <c r="AN4" s="87"/>
      <c r="AO4" s="87"/>
      <c r="AP4" s="87"/>
    </row>
    <row r="5" spans="1:42" s="3" customFormat="1" ht="12.75" customHeight="1">
      <c r="A5" s="61">
        <v>150144</v>
      </c>
      <c r="B5" s="23" t="s">
        <v>10</v>
      </c>
      <c r="C5" s="24"/>
      <c r="D5" s="50">
        <v>2058529.1</v>
      </c>
      <c r="E5" s="50">
        <v>0</v>
      </c>
      <c r="F5" s="50">
        <v>0</v>
      </c>
      <c r="G5" s="50">
        <v>13777.16</v>
      </c>
      <c r="H5" s="50">
        <v>65504.31</v>
      </c>
      <c r="I5" s="50">
        <v>0</v>
      </c>
      <c r="J5" s="62"/>
      <c r="K5" s="8">
        <f t="shared" si="0"/>
        <v>1979247.6300000001</v>
      </c>
      <c r="L5" s="8">
        <v>1550000</v>
      </c>
      <c r="M5" s="63">
        <f t="shared" si="1"/>
        <v>429247.6300000001</v>
      </c>
      <c r="N5" s="8"/>
      <c r="O5" s="8"/>
      <c r="P5" s="8">
        <f aca="true" t="shared" si="4" ref="P5:P10">+M5/M$11*P$11</f>
        <v>429247.6300000001</v>
      </c>
      <c r="Q5" s="142">
        <f aca="true" t="shared" si="5" ref="Q5:Q10">+(M5+N5)/(M$11+N$11)*Q$11</f>
        <v>429247.6300000001</v>
      </c>
      <c r="R5" s="63">
        <f>'All A - ESITO 2010 comp reg'!P5/'All A - ESITO 2010 comp reg'!P$11*'ALL B - ESITO 2010 comp ASL'!R$11</f>
        <v>0</v>
      </c>
      <c r="S5" s="8">
        <f aca="true" t="shared" si="6" ref="S5:S10">ROUND(R$100/(M$100-P$100)*(M5-P5),2)</f>
        <v>0</v>
      </c>
      <c r="T5" s="8">
        <f aca="true" t="shared" si="7" ref="T5:T10">+Z5/$Z$100*$AA$100</f>
        <v>0</v>
      </c>
      <c r="U5" s="88">
        <f aca="true" t="shared" si="8" ref="U5:U10">IF((P5+S5)&lt;(Q5+T5),P5+S5,Q5+T5)</f>
        <v>429247.6300000001</v>
      </c>
      <c r="V5" s="114">
        <f aca="true" t="shared" si="9" ref="V5:V11">IF(M5=0,"      n.s.",+U5/M5)</f>
        <v>1</v>
      </c>
      <c r="W5" s="8">
        <f t="shared" si="2"/>
        <v>0</v>
      </c>
      <c r="X5" s="8">
        <f t="shared" si="3"/>
        <v>0</v>
      </c>
      <c r="Y5" s="8"/>
      <c r="Z5" s="8">
        <f aca="true" t="shared" si="10" ref="Z5:Z10">+M5+N5-P5-S5</f>
        <v>0</v>
      </c>
      <c r="AD5" s="87"/>
      <c r="AK5" s="87"/>
      <c r="AL5" s="87"/>
      <c r="AM5" s="87"/>
      <c r="AN5" s="87"/>
      <c r="AO5" s="87"/>
      <c r="AP5" s="87"/>
    </row>
    <row r="6" spans="1:42" s="3" customFormat="1" ht="12.75" customHeight="1">
      <c r="A6" s="61">
        <v>150145</v>
      </c>
      <c r="B6" s="23" t="s">
        <v>13</v>
      </c>
      <c r="C6" s="25"/>
      <c r="D6" s="50">
        <v>10115089.88</v>
      </c>
      <c r="E6" s="50">
        <v>0</v>
      </c>
      <c r="F6" s="50">
        <v>0</v>
      </c>
      <c r="G6" s="50">
        <v>144841.29</v>
      </c>
      <c r="H6" s="50">
        <v>148681.47</v>
      </c>
      <c r="I6" s="50">
        <v>0</v>
      </c>
      <c r="J6" s="62" t="s">
        <v>129</v>
      </c>
      <c r="K6" s="8">
        <f t="shared" si="0"/>
        <v>9821567.120000001</v>
      </c>
      <c r="L6" s="8">
        <v>9080000</v>
      </c>
      <c r="M6" s="63">
        <f t="shared" si="1"/>
        <v>741567.120000001</v>
      </c>
      <c r="N6" s="8"/>
      <c r="O6" s="8"/>
      <c r="P6" s="8">
        <f t="shared" si="4"/>
        <v>741567.1200000009</v>
      </c>
      <c r="Q6" s="142">
        <f t="shared" si="5"/>
        <v>741567.1200000009</v>
      </c>
      <c r="R6" s="63">
        <f>'All A - ESITO 2010 comp reg'!P6/'All A - ESITO 2010 comp reg'!P$11*'ALL B - ESITO 2010 comp ASL'!R$11</f>
        <v>0</v>
      </c>
      <c r="S6" s="8">
        <f t="shared" si="6"/>
        <v>0</v>
      </c>
      <c r="T6" s="8">
        <f t="shared" si="7"/>
        <v>4.181051738438525E-12</v>
      </c>
      <c r="U6" s="88">
        <f t="shared" si="8"/>
        <v>741567.1200000009</v>
      </c>
      <c r="V6" s="114">
        <f t="shared" si="9"/>
        <v>0.9999999999999999</v>
      </c>
      <c r="W6" s="8">
        <f t="shared" si="2"/>
        <v>0</v>
      </c>
      <c r="X6" s="8">
        <f t="shared" si="3"/>
        <v>0</v>
      </c>
      <c r="Y6" s="8"/>
      <c r="Z6" s="8">
        <f t="shared" si="10"/>
        <v>1.1641532182693481E-10</v>
      </c>
      <c r="AD6" s="87"/>
      <c r="AK6" s="87"/>
      <c r="AL6" s="87"/>
      <c r="AM6" s="87"/>
      <c r="AN6" s="87" t="s">
        <v>133</v>
      </c>
      <c r="AO6" s="87"/>
      <c r="AP6" s="87"/>
    </row>
    <row r="7" spans="1:42" s="3" customFormat="1" ht="12.75" customHeight="1">
      <c r="A7" s="61">
        <v>150146</v>
      </c>
      <c r="B7" s="23" t="s">
        <v>11</v>
      </c>
      <c r="C7" s="25"/>
      <c r="D7" s="50">
        <v>6824917.99</v>
      </c>
      <c r="E7" s="50">
        <v>0</v>
      </c>
      <c r="F7" s="50">
        <v>0</v>
      </c>
      <c r="G7" s="50">
        <v>43773.63</v>
      </c>
      <c r="H7" s="50">
        <v>357134.38</v>
      </c>
      <c r="I7" s="50">
        <v>0</v>
      </c>
      <c r="J7" s="62"/>
      <c r="K7" s="8">
        <f t="shared" si="0"/>
        <v>6424009.98</v>
      </c>
      <c r="L7" s="8">
        <v>6700000</v>
      </c>
      <c r="M7" s="63">
        <f t="shared" si="1"/>
        <v>0</v>
      </c>
      <c r="N7" s="8"/>
      <c r="O7" s="8"/>
      <c r="P7" s="8">
        <f t="shared" si="4"/>
        <v>0</v>
      </c>
      <c r="Q7" s="142">
        <f t="shared" si="5"/>
        <v>0</v>
      </c>
      <c r="R7" s="63">
        <f>'All A - ESITO 2010 comp reg'!P7/'All A - ESITO 2010 comp reg'!P$11*'ALL B - ESITO 2010 comp ASL'!R$11</f>
        <v>76510.598951685</v>
      </c>
      <c r="S7" s="8">
        <f t="shared" si="6"/>
        <v>0</v>
      </c>
      <c r="T7" s="8">
        <f t="shared" si="7"/>
        <v>0</v>
      </c>
      <c r="U7" s="88">
        <f t="shared" si="8"/>
        <v>0</v>
      </c>
      <c r="V7" s="114" t="str">
        <f t="shared" si="9"/>
        <v>      n.s.</v>
      </c>
      <c r="W7" s="8">
        <f t="shared" si="2"/>
        <v>0</v>
      </c>
      <c r="X7" s="8">
        <f t="shared" si="3"/>
        <v>0</v>
      </c>
      <c r="Y7" s="8"/>
      <c r="Z7" s="8">
        <f t="shared" si="10"/>
        <v>0</v>
      </c>
      <c r="AD7" s="87"/>
      <c r="AK7" s="87"/>
      <c r="AL7" s="87"/>
      <c r="AM7" s="87"/>
      <c r="AN7" s="87"/>
      <c r="AO7" s="87"/>
      <c r="AP7" s="87"/>
    </row>
    <row r="8" spans="1:42" s="3" customFormat="1" ht="12.75" customHeight="1">
      <c r="A8" s="61">
        <v>150147</v>
      </c>
      <c r="B8" s="23" t="s">
        <v>7</v>
      </c>
      <c r="C8" s="25"/>
      <c r="D8" s="50">
        <v>6425654.26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62"/>
      <c r="K8" s="8">
        <f t="shared" si="0"/>
        <v>6425654.26</v>
      </c>
      <c r="L8" s="8">
        <v>7415000</v>
      </c>
      <c r="M8" s="63">
        <f t="shared" si="1"/>
        <v>0</v>
      </c>
      <c r="N8" s="8"/>
      <c r="O8" s="8"/>
      <c r="P8" s="8">
        <f t="shared" si="4"/>
        <v>0</v>
      </c>
      <c r="Q8" s="142">
        <f t="shared" si="5"/>
        <v>0</v>
      </c>
      <c r="R8" s="63">
        <f>'All A - ESITO 2010 comp reg'!P8/'All A - ESITO 2010 comp reg'!P$11*'ALL B - ESITO 2010 comp ASL'!R$11</f>
        <v>274268.7403613295</v>
      </c>
      <c r="S8" s="8">
        <f t="shared" si="6"/>
        <v>0</v>
      </c>
      <c r="T8" s="8">
        <f t="shared" si="7"/>
        <v>0</v>
      </c>
      <c r="U8" s="88">
        <f t="shared" si="8"/>
        <v>0</v>
      </c>
      <c r="V8" s="114" t="str">
        <f t="shared" si="9"/>
        <v>      n.s.</v>
      </c>
      <c r="W8" s="8">
        <f t="shared" si="2"/>
        <v>0</v>
      </c>
      <c r="X8" s="8">
        <f t="shared" si="3"/>
        <v>0</v>
      </c>
      <c r="Y8" s="8"/>
      <c r="Z8" s="8">
        <f t="shared" si="10"/>
        <v>0</v>
      </c>
      <c r="AD8" s="87"/>
      <c r="AK8" s="87"/>
      <c r="AL8" s="87"/>
      <c r="AM8" s="87"/>
      <c r="AN8" s="87"/>
      <c r="AO8" s="87"/>
      <c r="AP8" s="87"/>
    </row>
    <row r="9" spans="1:42" s="3" customFormat="1" ht="12.75" customHeight="1">
      <c r="A9" s="61">
        <v>150148</v>
      </c>
      <c r="B9" s="23" t="s">
        <v>12</v>
      </c>
      <c r="C9" s="25"/>
      <c r="D9" s="50">
        <v>42915379.39</v>
      </c>
      <c r="E9" s="50">
        <v>0</v>
      </c>
      <c r="F9" s="50">
        <v>0</v>
      </c>
      <c r="G9" s="50">
        <v>665910.8</v>
      </c>
      <c r="H9" s="50">
        <v>893784.25</v>
      </c>
      <c r="I9" s="50">
        <v>0</v>
      </c>
      <c r="J9" s="62"/>
      <c r="K9" s="8">
        <f t="shared" si="0"/>
        <v>41355684.34</v>
      </c>
      <c r="L9" s="8">
        <v>40938000</v>
      </c>
      <c r="M9" s="63">
        <f t="shared" si="1"/>
        <v>417684.3400000036</v>
      </c>
      <c r="N9" s="8"/>
      <c r="O9" s="8"/>
      <c r="P9" s="8">
        <f t="shared" si="4"/>
        <v>417684.3400000036</v>
      </c>
      <c r="Q9" s="142">
        <f t="shared" si="5"/>
        <v>417684.3400000036</v>
      </c>
      <c r="R9" s="63">
        <f>'All A - ESITO 2010 comp reg'!P9/'All A - ESITO 2010 comp reg'!P$11*'ALL B - ESITO 2010 comp ASL'!R$11</f>
        <v>0</v>
      </c>
      <c r="S9" s="8">
        <f t="shared" si="6"/>
        <v>0</v>
      </c>
      <c r="T9" s="8">
        <f t="shared" si="7"/>
        <v>0</v>
      </c>
      <c r="U9" s="88">
        <f t="shared" si="8"/>
        <v>417684.3400000036</v>
      </c>
      <c r="V9" s="114">
        <f t="shared" si="9"/>
        <v>1</v>
      </c>
      <c r="W9" s="8">
        <f t="shared" si="2"/>
        <v>0</v>
      </c>
      <c r="X9" s="8">
        <f t="shared" si="3"/>
        <v>0</v>
      </c>
      <c r="Y9" s="8"/>
      <c r="Z9" s="8">
        <f t="shared" si="10"/>
        <v>0</v>
      </c>
      <c r="AD9" s="87"/>
      <c r="AK9" s="87"/>
      <c r="AL9" s="87"/>
      <c r="AM9" s="87"/>
      <c r="AN9" s="87"/>
      <c r="AO9" s="87"/>
      <c r="AP9" s="87"/>
    </row>
    <row r="10" spans="1:42" s="3" customFormat="1" ht="12.75" customHeight="1">
      <c r="A10" s="61">
        <v>150149</v>
      </c>
      <c r="B10" s="23" t="s">
        <v>9</v>
      </c>
      <c r="C10" s="25"/>
      <c r="D10" s="51">
        <v>24917228.22</v>
      </c>
      <c r="E10" s="50">
        <v>0</v>
      </c>
      <c r="F10" s="50">
        <v>0</v>
      </c>
      <c r="G10" s="50">
        <v>171849.24</v>
      </c>
      <c r="H10" s="50">
        <v>466967.39</v>
      </c>
      <c r="I10" s="51">
        <v>0</v>
      </c>
      <c r="J10" s="92"/>
      <c r="K10" s="8">
        <f t="shared" si="0"/>
        <v>24278411.59</v>
      </c>
      <c r="L10" s="9">
        <v>26190000</v>
      </c>
      <c r="M10" s="63">
        <f t="shared" si="1"/>
        <v>0</v>
      </c>
      <c r="N10" s="9"/>
      <c r="O10" s="9"/>
      <c r="P10" s="8">
        <f t="shared" si="4"/>
        <v>0</v>
      </c>
      <c r="Q10" s="142">
        <f t="shared" si="5"/>
        <v>0</v>
      </c>
      <c r="R10" s="63">
        <f>'All A - ESITO 2010 comp reg'!P10/'All A - ESITO 2010 comp reg'!P$11*'ALL B - ESITO 2010 comp ASL'!R$11</f>
        <v>529935.0106869786</v>
      </c>
      <c r="S10" s="8">
        <f t="shared" si="6"/>
        <v>0</v>
      </c>
      <c r="T10" s="8">
        <f t="shared" si="7"/>
        <v>0</v>
      </c>
      <c r="U10" s="88">
        <f t="shared" si="8"/>
        <v>0</v>
      </c>
      <c r="V10" s="119" t="str">
        <f t="shared" si="9"/>
        <v>      n.s.</v>
      </c>
      <c r="W10" s="8">
        <f t="shared" si="2"/>
        <v>0</v>
      </c>
      <c r="X10" s="8">
        <f t="shared" si="3"/>
        <v>0</v>
      </c>
      <c r="Y10" s="9"/>
      <c r="Z10" s="8">
        <f t="shared" si="10"/>
        <v>0</v>
      </c>
      <c r="AD10" s="87"/>
      <c r="AK10" s="87"/>
      <c r="AL10" s="87"/>
      <c r="AM10" s="87"/>
      <c r="AN10" s="87"/>
      <c r="AO10" s="87"/>
      <c r="AP10" s="87"/>
    </row>
    <row r="11" spans="1:42" s="3" customFormat="1" ht="15.75" customHeight="1">
      <c r="A11" s="56"/>
      <c r="B11" s="26" t="s">
        <v>14</v>
      </c>
      <c r="C11" s="27"/>
      <c r="D11" s="64">
        <f aca="true" t="shared" si="11" ref="D11:I11">SUM(D4:D10)</f>
        <v>100583608.28</v>
      </c>
      <c r="E11" s="64">
        <f t="shared" si="11"/>
        <v>1292965.93</v>
      </c>
      <c r="F11" s="64">
        <f t="shared" si="11"/>
        <v>0</v>
      </c>
      <c r="G11" s="64">
        <f t="shared" si="11"/>
        <v>1106924.21</v>
      </c>
      <c r="H11" s="64">
        <f t="shared" si="11"/>
        <v>1960492.33</v>
      </c>
      <c r="I11" s="64">
        <f t="shared" si="11"/>
        <v>16872.02</v>
      </c>
      <c r="J11" s="65"/>
      <c r="K11" s="64">
        <f aca="true" t="shared" si="12" ref="K11:Z11">SUM(K4:K10)</f>
        <v>98792285.65</v>
      </c>
      <c r="L11" s="64">
        <f t="shared" si="12"/>
        <v>99673000</v>
      </c>
      <c r="M11" s="64">
        <f t="shared" si="12"/>
        <v>2296209.820000007</v>
      </c>
      <c r="N11" s="64">
        <f t="shared" si="12"/>
        <v>0</v>
      </c>
      <c r="O11" s="64">
        <f t="shared" si="12"/>
        <v>0</v>
      </c>
      <c r="P11" s="64">
        <f>IF('All A - ESITO 2010 comp reg'!P11&gt;'All A - ESITO 2010 comp reg'!M11,'All A - ESITO 2010 comp reg'!M11,'All A - ESITO 2010 comp reg'!P11)</f>
        <v>2296209.820000007</v>
      </c>
      <c r="Q11" s="64">
        <f>IF('All A - ESITO 2010 comp reg'!P11&gt;('All A - ESITO 2010 comp reg'!M11+'All A - ESITO 2010 comp reg'!N11),('All A - ESITO 2010 comp reg'!M11+'All A - ESITO 2010 comp reg'!N11),'All A - ESITO 2010 comp reg'!P11)</f>
        <v>2296209.820000007</v>
      </c>
      <c r="R11" s="64">
        <f>+'All A - ESITO 2010 comp reg'!P11-'ALL B - ESITO 2010 comp ASL'!P11</f>
        <v>880714.3499999931</v>
      </c>
      <c r="S11" s="64">
        <f t="shared" si="12"/>
        <v>0</v>
      </c>
      <c r="T11" s="64">
        <f t="shared" si="12"/>
        <v>4.181051738438525E-12</v>
      </c>
      <c r="U11" s="95">
        <f t="shared" si="12"/>
        <v>2296209.820000007</v>
      </c>
      <c r="V11" s="120">
        <f t="shared" si="9"/>
        <v>1</v>
      </c>
      <c r="W11" s="64">
        <f t="shared" si="12"/>
        <v>0</v>
      </c>
      <c r="X11" s="64">
        <f t="shared" si="12"/>
        <v>0</v>
      </c>
      <c r="Y11" s="64">
        <f t="shared" si="12"/>
        <v>0</v>
      </c>
      <c r="Z11" s="64">
        <f t="shared" si="12"/>
        <v>1.1641532182693481E-10</v>
      </c>
      <c r="AK11" s="87"/>
      <c r="AL11" s="87"/>
      <c r="AM11" s="87"/>
      <c r="AN11" s="87"/>
      <c r="AO11" s="87"/>
      <c r="AP11" s="87"/>
    </row>
    <row r="12" spans="1:26" s="3" customFormat="1" ht="6" customHeight="1">
      <c r="A12" s="29"/>
      <c r="B12" s="28"/>
      <c r="C12" s="29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96"/>
      <c r="V12" s="115"/>
      <c r="W12" s="48"/>
      <c r="X12" s="48"/>
      <c r="Y12" s="48"/>
      <c r="Z12" s="48"/>
    </row>
    <row r="13" spans="1:26" s="3" customFormat="1" ht="15.75" customHeight="1">
      <c r="A13" s="30" t="s">
        <v>15</v>
      </c>
      <c r="B13" s="31"/>
      <c r="C13" s="31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7"/>
      <c r="V13" s="116"/>
      <c r="W13" s="90"/>
      <c r="X13" s="90"/>
      <c r="Y13" s="90"/>
      <c r="Z13" s="90"/>
    </row>
    <row r="14" spans="1:42" s="3" customFormat="1" ht="12.75" customHeight="1">
      <c r="A14" s="61">
        <v>150033</v>
      </c>
      <c r="B14" s="32" t="s">
        <v>16</v>
      </c>
      <c r="C14" s="24" t="s">
        <v>105</v>
      </c>
      <c r="D14" s="50">
        <v>9484118.030000001</v>
      </c>
      <c r="E14" s="50">
        <v>1673667.88</v>
      </c>
      <c r="F14" s="50">
        <v>0</v>
      </c>
      <c r="G14" s="50">
        <v>223937.2505</v>
      </c>
      <c r="H14" s="50">
        <v>191747.04950000002</v>
      </c>
      <c r="I14" s="50">
        <v>73356.05</v>
      </c>
      <c r="J14" s="62" t="s">
        <v>120</v>
      </c>
      <c r="K14" s="8">
        <f>+D14+E14-F14-G14-H14-I14</f>
        <v>10668745.56</v>
      </c>
      <c r="L14" s="8">
        <v>10300000</v>
      </c>
      <c r="M14" s="63">
        <f>IF(K14&gt;L14,(K14-L14),0)</f>
        <v>368745.5600000005</v>
      </c>
      <c r="N14" s="8"/>
      <c r="O14" s="8"/>
      <c r="P14" s="8">
        <f>+M14/M$19*P$19</f>
        <v>35576.891763870575</v>
      </c>
      <c r="Q14" s="142">
        <f>+(M14+N14)/(M$19+N$19)*Q$19</f>
        <v>35576.891763870575</v>
      </c>
      <c r="R14" s="63">
        <f>'All A - ESITO 2010 comp reg'!P14/'All A - ESITO 2010 comp reg'!P$19*'ALL B - ESITO 2010 comp ASL'!R$19</f>
        <v>0</v>
      </c>
      <c r="S14" s="8">
        <f>ROUND(R$100/(M$100-P$100)*(M14-P14),2)</f>
        <v>15294.77</v>
      </c>
      <c r="T14" s="8">
        <f>+Z14/$Z$100*$AA$100</f>
        <v>11416.428645021382</v>
      </c>
      <c r="U14" s="88">
        <f>IF((P14+S14)&lt;(Q14+T14),P14+S14,Q14+T14)</f>
        <v>46993.32040889196</v>
      </c>
      <c r="V14" s="114">
        <f aca="true" t="shared" si="13" ref="V14:V19">IF(M14=0,"      n.s.",+U14/M14)</f>
        <v>0.12744104744987816</v>
      </c>
      <c r="W14" s="8">
        <f>+M14-U14</f>
        <v>321752.2395911086</v>
      </c>
      <c r="X14" s="8">
        <f>+W14</f>
        <v>321752.2395911086</v>
      </c>
      <c r="Y14" s="8"/>
      <c r="Z14" s="8">
        <f>+M14+N14-P14-S14</f>
        <v>317873.8982361299</v>
      </c>
      <c r="AA14" s="84">
        <f>ROUND((H14+G14+F14)/(D14)*E14,2)</f>
        <v>73356.05</v>
      </c>
      <c r="AB14" s="54">
        <f>+AA14-I14</f>
        <v>0</v>
      </c>
      <c r="AD14" s="54"/>
      <c r="AK14" s="54"/>
      <c r="AL14" s="54"/>
      <c r="AM14" s="54"/>
      <c r="AN14" s="54"/>
      <c r="AO14" s="54"/>
      <c r="AP14" s="54"/>
    </row>
    <row r="15" spans="1:42" s="3" customFormat="1" ht="12.75" customHeight="1">
      <c r="A15" s="61">
        <v>150034</v>
      </c>
      <c r="B15" s="32" t="s">
        <v>19</v>
      </c>
      <c r="C15" s="33"/>
      <c r="D15" s="50">
        <v>8731025.62</v>
      </c>
      <c r="E15" s="50">
        <v>0</v>
      </c>
      <c r="F15" s="50">
        <v>0</v>
      </c>
      <c r="G15" s="50">
        <v>166641.2543</v>
      </c>
      <c r="H15" s="50">
        <v>91488.9376</v>
      </c>
      <c r="I15" s="50">
        <v>0</v>
      </c>
      <c r="J15" s="62"/>
      <c r="K15" s="8">
        <f>+D15+E15-F15-G15-H15-I15</f>
        <v>8472895.4281</v>
      </c>
      <c r="L15" s="8">
        <v>8500000</v>
      </c>
      <c r="M15" s="63">
        <f>IF(K15&gt;L15,(K15-L15),0)</f>
        <v>0</v>
      </c>
      <c r="N15" s="8"/>
      <c r="O15" s="8"/>
      <c r="P15" s="8">
        <f>+M15/M$19*P$19</f>
        <v>0</v>
      </c>
      <c r="Q15" s="142">
        <f>+(M15+N15)/(M$19+N$19)*Q$19</f>
        <v>0</v>
      </c>
      <c r="R15" s="63">
        <f>'All A - ESITO 2010 comp reg'!P15/'All A - ESITO 2010 comp reg'!P$19*'ALL B - ESITO 2010 comp ASL'!R$19</f>
        <v>0</v>
      </c>
      <c r="S15" s="8">
        <f>ROUND(R$100/(M$100-P$100)*(M15-P15),2)</f>
        <v>0</v>
      </c>
      <c r="T15" s="8">
        <f>+Z15/$Z$100*$AA$100</f>
        <v>0</v>
      </c>
      <c r="U15" s="88">
        <f>IF((P15+S15)&lt;(Q15+T15),P15+S15,Q15+T15)</f>
        <v>0</v>
      </c>
      <c r="V15" s="114" t="str">
        <f t="shared" si="13"/>
        <v>      n.s.</v>
      </c>
      <c r="W15" s="8">
        <f>+M15-U15</f>
        <v>0</v>
      </c>
      <c r="X15" s="8">
        <f>+W15</f>
        <v>0</v>
      </c>
      <c r="Y15" s="8"/>
      <c r="Z15" s="8">
        <f>+M15+N15-P15-S15</f>
        <v>0</v>
      </c>
      <c r="AD15" s="54"/>
      <c r="AK15" s="54"/>
      <c r="AL15" s="54"/>
      <c r="AM15" s="54"/>
      <c r="AN15" s="54"/>
      <c r="AO15" s="54"/>
      <c r="AP15" s="54"/>
    </row>
    <row r="16" spans="1:237" s="4" customFormat="1" ht="12.75" customHeight="1">
      <c r="A16" s="61">
        <v>150035</v>
      </c>
      <c r="B16" s="26" t="s">
        <v>18</v>
      </c>
      <c r="C16" s="24" t="s">
        <v>103</v>
      </c>
      <c r="D16" s="50">
        <v>8599724.77</v>
      </c>
      <c r="E16" s="50">
        <v>1659596</v>
      </c>
      <c r="F16" s="50">
        <v>0</v>
      </c>
      <c r="G16" s="50">
        <v>62767.59100000001</v>
      </c>
      <c r="H16" s="50">
        <v>196885.2537</v>
      </c>
      <c r="I16" s="50">
        <v>50108.44</v>
      </c>
      <c r="J16" s="62"/>
      <c r="K16" s="8">
        <f>+D16+E16-F16-G16-H16-I16</f>
        <v>9949559.4853</v>
      </c>
      <c r="L16" s="8">
        <v>9600000</v>
      </c>
      <c r="M16" s="63">
        <f>IF(K16&gt;L16,(K16-L16),0)</f>
        <v>349559.48530000076</v>
      </c>
      <c r="N16" s="8"/>
      <c r="O16" s="8"/>
      <c r="P16" s="8">
        <f>+M16/M$19*P$19</f>
        <v>33725.80261997572</v>
      </c>
      <c r="Q16" s="142">
        <f>+(M16+N16)/(M$19+N$19)*Q$19</f>
        <v>33725.80261997572</v>
      </c>
      <c r="R16" s="63">
        <f>'All A - ESITO 2010 comp reg'!P16/'All A - ESITO 2010 comp reg'!P$19*'ALL B - ESITO 2010 comp ASL'!R$19</f>
        <v>0</v>
      </c>
      <c r="S16" s="8">
        <f>ROUND(R$100/(M$100-P$100)*(M16-P16),2)</f>
        <v>14498.97</v>
      </c>
      <c r="T16" s="8">
        <f>+Z16/$Z$100*$AA$100</f>
        <v>10822.42444148097</v>
      </c>
      <c r="U16" s="88">
        <f>IF((P16+S16)&lt;(Q16+T16),P16+S16,Q16+T16)</f>
        <v>44548.227061456695</v>
      </c>
      <c r="V16" s="114">
        <f t="shared" si="13"/>
        <v>0.12744104776108217</v>
      </c>
      <c r="W16" s="8">
        <f>+M16-U16</f>
        <v>305011.25823854405</v>
      </c>
      <c r="X16" s="8">
        <f>+W16</f>
        <v>305011.25823854405</v>
      </c>
      <c r="Y16" s="8"/>
      <c r="Z16" s="8">
        <f>+M16+N16-P16-S16</f>
        <v>301334.7126800251</v>
      </c>
      <c r="AA16" s="84">
        <f>ROUND((H16+G16+F16)/(D16)*E16,2)</f>
        <v>50108.44</v>
      </c>
      <c r="AB16" s="54">
        <f>+AA16-I16</f>
        <v>0</v>
      </c>
      <c r="AD16" s="54"/>
      <c r="AK16" s="54"/>
      <c r="AL16" s="54"/>
      <c r="AM16" s="54"/>
      <c r="AN16" s="54"/>
      <c r="AO16" s="54"/>
      <c r="AP16" s="54"/>
      <c r="HV16" s="3"/>
      <c r="HW16" s="3"/>
      <c r="HX16" s="3"/>
      <c r="HY16" s="3"/>
      <c r="HZ16" s="3"/>
      <c r="IA16" s="3"/>
      <c r="IB16" s="3"/>
      <c r="IC16" s="3"/>
    </row>
    <row r="17" spans="1:42" s="3" customFormat="1" ht="12.75" customHeight="1">
      <c r="A17" s="61">
        <v>150350</v>
      </c>
      <c r="B17" s="32" t="s">
        <v>90</v>
      </c>
      <c r="C17" s="33"/>
      <c r="D17" s="50">
        <v>1879209.75</v>
      </c>
      <c r="E17" s="50">
        <v>0</v>
      </c>
      <c r="F17" s="50">
        <v>0</v>
      </c>
      <c r="G17" s="50">
        <v>0</v>
      </c>
      <c r="H17" s="50">
        <v>3029.9610000000007</v>
      </c>
      <c r="I17" s="50">
        <v>0</v>
      </c>
      <c r="J17" s="62"/>
      <c r="K17" s="8">
        <f>+D17+E17-F17-G17-H17-I17</f>
        <v>1876179.789</v>
      </c>
      <c r="L17" s="8">
        <v>1970000</v>
      </c>
      <c r="M17" s="63">
        <f>IF(K17&gt;L17,(K17-L17),0)</f>
        <v>0</v>
      </c>
      <c r="N17" s="8"/>
      <c r="O17" s="8"/>
      <c r="P17" s="8">
        <f>+M17/M$19*P$19</f>
        <v>0</v>
      </c>
      <c r="Q17" s="142">
        <f>+(M17+N17)/(M$19+N$19)*Q$19</f>
        <v>0</v>
      </c>
      <c r="R17" s="63">
        <f>'All A - ESITO 2010 comp reg'!P17/'All A - ESITO 2010 comp reg'!P$19*'ALL B - ESITO 2010 comp ASL'!R$19</f>
        <v>0</v>
      </c>
      <c r="S17" s="8">
        <f>ROUND(R$100/(M$100-P$100)*(M17-P17),2)</f>
        <v>0</v>
      </c>
      <c r="T17" s="8">
        <f>+Z17/$Z$100*$AA$100</f>
        <v>0</v>
      </c>
      <c r="U17" s="88">
        <f>IF((P17+S17)&lt;(Q17+T17),P17+S17,Q17+T17)</f>
        <v>0</v>
      </c>
      <c r="V17" s="114" t="str">
        <f t="shared" si="13"/>
        <v>      n.s.</v>
      </c>
      <c r="W17" s="8">
        <f>+M17-U17</f>
        <v>0</v>
      </c>
      <c r="X17" s="8">
        <f>+W17</f>
        <v>0</v>
      </c>
      <c r="Y17" s="8"/>
      <c r="Z17" s="8">
        <f>+M17+N17-P17-S17</f>
        <v>0</v>
      </c>
      <c r="AD17" s="54"/>
      <c r="AK17" s="54"/>
      <c r="AL17" s="54"/>
      <c r="AM17" s="54"/>
      <c r="AN17" s="54"/>
      <c r="AO17" s="54"/>
      <c r="AP17" s="54"/>
    </row>
    <row r="18" spans="1:42" s="3" customFormat="1" ht="12.75" customHeight="1">
      <c r="A18" s="61">
        <v>150371</v>
      </c>
      <c r="B18" s="32" t="s">
        <v>17</v>
      </c>
      <c r="C18" s="33"/>
      <c r="D18" s="50">
        <v>9235050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92"/>
      <c r="K18" s="8">
        <f>+D18+E18-F18-G18-H18-I18</f>
        <v>9235050</v>
      </c>
      <c r="L18" s="9">
        <v>8700000</v>
      </c>
      <c r="M18" s="63">
        <f>IF(K18&gt;L18,(K18-L18),0)</f>
        <v>535050</v>
      </c>
      <c r="N18" s="9"/>
      <c r="O18" s="9"/>
      <c r="P18" s="8">
        <f>+M18/M$19*P$19</f>
        <v>51622.08851615439</v>
      </c>
      <c r="Q18" s="142">
        <f>+(M18+N18)/(M$19+N$19)*Q$19</f>
        <v>51622.08851615439</v>
      </c>
      <c r="R18" s="63">
        <f>'All A - ESITO 2010 comp reg'!P18/'All A - ESITO 2010 comp reg'!P$19*'ALL B - ESITO 2010 comp ASL'!R$19</f>
        <v>0</v>
      </c>
      <c r="S18" s="8">
        <f>ROUND(R$100/(M$100-P$100)*(M18-P18),2)</f>
        <v>22192.72</v>
      </c>
      <c r="T18" s="8">
        <f>+Z18/$Z$100*$AA$100</f>
        <v>16565.243895038366</v>
      </c>
      <c r="U18" s="88">
        <f>IF((P18+S18)&lt;(Q18+T18),P18+S18,Q18+T18)</f>
        <v>68187.33241119276</v>
      </c>
      <c r="V18" s="119">
        <f t="shared" si="13"/>
        <v>0.12744104739966874</v>
      </c>
      <c r="W18" s="8">
        <f>+M18-U18</f>
        <v>466862.66758880724</v>
      </c>
      <c r="X18" s="8">
        <f>+W18</f>
        <v>466862.66758880724</v>
      </c>
      <c r="Y18" s="9"/>
      <c r="Z18" s="8">
        <f>+M18+N18-P18-S18</f>
        <v>461235.1914838456</v>
      </c>
      <c r="AD18" s="54"/>
      <c r="AK18" s="54"/>
      <c r="AL18" s="54"/>
      <c r="AM18" s="54"/>
      <c r="AN18" s="54"/>
      <c r="AO18" s="54"/>
      <c r="AP18" s="54"/>
    </row>
    <row r="19" spans="1:42" s="3" customFormat="1" ht="15.75" customHeight="1">
      <c r="A19" s="56"/>
      <c r="B19" s="26" t="s">
        <v>14</v>
      </c>
      <c r="C19" s="27"/>
      <c r="D19" s="64">
        <f aca="true" t="shared" si="14" ref="D19:I19">SUM(D14:D18)</f>
        <v>37929128.17</v>
      </c>
      <c r="E19" s="64">
        <f t="shared" si="14"/>
        <v>3333263.88</v>
      </c>
      <c r="F19" s="64">
        <f t="shared" si="14"/>
        <v>0</v>
      </c>
      <c r="G19" s="64">
        <f t="shared" si="14"/>
        <v>453346.0958</v>
      </c>
      <c r="H19" s="64">
        <f t="shared" si="14"/>
        <v>483151.20180000004</v>
      </c>
      <c r="I19" s="64">
        <f t="shared" si="14"/>
        <v>123464.49</v>
      </c>
      <c r="J19" s="65"/>
      <c r="K19" s="64">
        <f aca="true" t="shared" si="15" ref="K19:Z19">SUM(K14:K18)</f>
        <v>40202430.2624</v>
      </c>
      <c r="L19" s="64">
        <f t="shared" si="15"/>
        <v>39070000</v>
      </c>
      <c r="M19" s="64">
        <f t="shared" si="15"/>
        <v>1253355.0453000013</v>
      </c>
      <c r="N19" s="64">
        <f t="shared" si="15"/>
        <v>0</v>
      </c>
      <c r="O19" s="64">
        <f t="shared" si="15"/>
        <v>0</v>
      </c>
      <c r="P19" s="64">
        <f>IF('All A - ESITO 2010 comp reg'!P19&gt;'All A - ESITO 2010 comp reg'!M19,'All A - ESITO 2010 comp reg'!M19,'All A - ESITO 2010 comp reg'!P19)</f>
        <v>120924.78290000069</v>
      </c>
      <c r="Q19" s="64">
        <f>IF('All A - ESITO 2010 comp reg'!P19&gt;('All A - ESITO 2010 comp reg'!M19+'All A - ESITO 2010 comp reg'!N19),('All A - ESITO 2010 comp reg'!M19+'All A - ESITO 2010 comp reg'!N19),'All A - ESITO 2010 comp reg'!P19)</f>
        <v>120924.78290000069</v>
      </c>
      <c r="R19" s="64">
        <f>+'All A - ESITO 2010 comp reg'!P19-'ALL B - ESITO 2010 comp ASL'!P19</f>
        <v>0</v>
      </c>
      <c r="S19" s="64">
        <f t="shared" si="15"/>
        <v>51986.46</v>
      </c>
      <c r="T19" s="64">
        <f t="shared" si="15"/>
        <v>38804.096981540715</v>
      </c>
      <c r="U19" s="95">
        <f t="shared" si="15"/>
        <v>159728.87988154142</v>
      </c>
      <c r="V19" s="120">
        <f t="shared" si="13"/>
        <v>0.12744104751523855</v>
      </c>
      <c r="W19" s="64">
        <f t="shared" si="15"/>
        <v>1093626.1654184598</v>
      </c>
      <c r="X19" s="64">
        <f t="shared" si="15"/>
        <v>1093626.1654184598</v>
      </c>
      <c r="Y19" s="64">
        <f t="shared" si="15"/>
        <v>0</v>
      </c>
      <c r="Z19" s="64">
        <f t="shared" si="15"/>
        <v>1080443.8024000004</v>
      </c>
      <c r="AD19" s="54"/>
      <c r="AK19" s="54"/>
      <c r="AL19" s="54"/>
      <c r="AM19" s="54"/>
      <c r="AN19" s="54"/>
      <c r="AO19" s="54"/>
      <c r="AP19" s="54"/>
    </row>
    <row r="20" spans="1:26" s="3" customFormat="1" ht="6" customHeight="1">
      <c r="A20" s="56"/>
      <c r="B20" s="26"/>
      <c r="C20" s="3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98"/>
      <c r="V20" s="115"/>
      <c r="W20" s="104"/>
      <c r="X20" s="104"/>
      <c r="Y20" s="104"/>
      <c r="Z20" s="104"/>
    </row>
    <row r="21" spans="1:26" s="3" customFormat="1" ht="15.75" customHeight="1">
      <c r="A21" s="30" t="s">
        <v>20</v>
      </c>
      <c r="B21" s="31"/>
      <c r="C21" s="31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7"/>
      <c r="V21" s="116"/>
      <c r="W21" s="90"/>
      <c r="X21" s="90"/>
      <c r="Y21" s="90"/>
      <c r="Z21" s="90"/>
    </row>
    <row r="22" spans="1:53" s="3" customFormat="1" ht="12.75" customHeight="1">
      <c r="A22" s="61">
        <v>150014</v>
      </c>
      <c r="B22" s="32" t="s">
        <v>27</v>
      </c>
      <c r="C22" s="24" t="s">
        <v>103</v>
      </c>
      <c r="D22" s="50">
        <v>4200001.02</v>
      </c>
      <c r="E22" s="50">
        <v>960607.66</v>
      </c>
      <c r="F22" s="50">
        <v>4290.9</v>
      </c>
      <c r="G22" s="50">
        <v>66089.49</v>
      </c>
      <c r="H22" s="50">
        <v>14787.62</v>
      </c>
      <c r="I22" s="50">
        <v>16435.89</v>
      </c>
      <c r="J22" s="62"/>
      <c r="K22" s="8">
        <f aca="true" t="shared" si="16" ref="K22:K34">+D22+E22-F22-G22-H22-I22</f>
        <v>5059004.779999999</v>
      </c>
      <c r="L22" s="8">
        <v>4000000</v>
      </c>
      <c r="M22" s="63">
        <f aca="true" t="shared" si="17" ref="M22:M34">IF(K22&gt;L22,(K22-L22),0)</f>
        <v>1059004.7799999993</v>
      </c>
      <c r="N22" s="8"/>
      <c r="O22" s="8"/>
      <c r="P22" s="8">
        <f>+M22/M$35*P$35</f>
        <v>128946.43421833268</v>
      </c>
      <c r="Q22" s="142">
        <f>+(M22+N22)/(M$35+N$35)*Q$35</f>
        <v>128946.43421833268</v>
      </c>
      <c r="R22" s="63">
        <f>'All A - ESITO 2010 comp reg'!P22/'All A - ESITO 2010 comp reg'!P$35*'ALL B - ESITO 2010 comp ASL'!R$35</f>
        <v>0</v>
      </c>
      <c r="S22" s="8">
        <f aca="true" t="shared" si="18" ref="S22:S34">ROUND(R$100/(M$100-P$100)*(M22-P22),2)</f>
        <v>42696.17</v>
      </c>
      <c r="T22" s="8">
        <f aca="true" t="shared" si="19" ref="T22:T34">+Z22/$Z$100*$AA$100</f>
        <v>31869.577899651762</v>
      </c>
      <c r="U22" s="88">
        <f aca="true" t="shared" si="20" ref="U22:U34">IF((P22+S22)&lt;(Q22+T22),P22+S22,Q22+T22)</f>
        <v>160816.01211798444</v>
      </c>
      <c r="V22" s="114">
        <f aca="true" t="shared" si="21" ref="V22:V35">IF(M22=0,"      n.s.",+U22/M22)</f>
        <v>0.15185579437893051</v>
      </c>
      <c r="W22" s="8">
        <f aca="true" t="shared" si="22" ref="W22:W34">+M22-U22</f>
        <v>898188.7678820149</v>
      </c>
      <c r="X22" s="8">
        <f aca="true" t="shared" si="23" ref="X22:X34">+W22</f>
        <v>898188.7678820149</v>
      </c>
      <c r="Y22" s="8"/>
      <c r="Z22" s="8">
        <f aca="true" t="shared" si="24" ref="Z22:Z34">+M22+N22-P22-S22</f>
        <v>887362.1757816667</v>
      </c>
      <c r="AA22" s="84">
        <f>ROUND((H22+G22+F22)/(D22)*E22,2)</f>
        <v>19479.29</v>
      </c>
      <c r="AB22" s="54">
        <f>+AA22-I22</f>
        <v>3043.4000000000015</v>
      </c>
      <c r="AC22" s="3">
        <v>4200001.02</v>
      </c>
      <c r="AD22" s="3">
        <v>960607.66</v>
      </c>
      <c r="AE22" s="3">
        <v>4290.9</v>
      </c>
      <c r="AF22" s="3">
        <v>66089.49</v>
      </c>
      <c r="AG22" s="3">
        <v>14787.62</v>
      </c>
      <c r="AH22" s="3">
        <v>16435.89</v>
      </c>
      <c r="AI22" s="54">
        <f aca="true" t="shared" si="25" ref="AI22:AI34">+AC22-D22</f>
        <v>0</v>
      </c>
      <c r="AJ22" s="54">
        <f aca="true" t="shared" si="26" ref="AJ22:AJ34">+AD22-E22</f>
        <v>0</v>
      </c>
      <c r="AK22" s="54">
        <f aca="true" t="shared" si="27" ref="AK22:AK34">+AE22-F22</f>
        <v>0</v>
      </c>
      <c r="AL22" s="54">
        <f aca="true" t="shared" si="28" ref="AL22:AL34">+AF22-G22</f>
        <v>0</v>
      </c>
      <c r="AM22" s="54">
        <f aca="true" t="shared" si="29" ref="AM22:AM34">+AG22-H22</f>
        <v>0</v>
      </c>
      <c r="AV22" s="54"/>
      <c r="AW22" s="54"/>
      <c r="AX22" s="54"/>
      <c r="AY22" s="54"/>
      <c r="AZ22" s="54"/>
      <c r="BA22" s="54"/>
    </row>
    <row r="23" spans="1:53" s="3" customFormat="1" ht="12.75" customHeight="1">
      <c r="A23" s="61">
        <v>150016</v>
      </c>
      <c r="B23" s="35" t="s">
        <v>24</v>
      </c>
      <c r="C23" s="36"/>
      <c r="D23" s="50">
        <v>12495571.74</v>
      </c>
      <c r="E23" s="50">
        <v>0</v>
      </c>
      <c r="F23" s="50">
        <v>107109.53</v>
      </c>
      <c r="G23" s="50">
        <v>355378.55</v>
      </c>
      <c r="H23" s="50">
        <v>343792.82</v>
      </c>
      <c r="I23" s="50"/>
      <c r="J23" s="62"/>
      <c r="K23" s="8">
        <f t="shared" si="16"/>
        <v>11689290.84</v>
      </c>
      <c r="L23" s="8">
        <v>12200000</v>
      </c>
      <c r="M23" s="63">
        <f t="shared" si="17"/>
        <v>0</v>
      </c>
      <c r="N23" s="8"/>
      <c r="O23" s="8"/>
      <c r="P23" s="8">
        <f aca="true" t="shared" si="30" ref="P23:P34">+M23/M$35*P$35</f>
        <v>0</v>
      </c>
      <c r="Q23" s="142">
        <f aca="true" t="shared" si="31" ref="Q23:Q34">+(M23+N23)/(M$35+N$35)*Q$35</f>
        <v>0</v>
      </c>
      <c r="R23" s="63">
        <f>'All A - ESITO 2010 comp reg'!P23/'All A - ESITO 2010 comp reg'!P$35*'ALL B - ESITO 2010 comp ASL'!R$35</f>
        <v>0</v>
      </c>
      <c r="S23" s="8">
        <f t="shared" si="18"/>
        <v>0</v>
      </c>
      <c r="T23" s="8">
        <f t="shared" si="19"/>
        <v>0</v>
      </c>
      <c r="U23" s="88">
        <f t="shared" si="20"/>
        <v>0</v>
      </c>
      <c r="V23" s="114" t="str">
        <f t="shared" si="21"/>
        <v>      n.s.</v>
      </c>
      <c r="W23" s="8">
        <f t="shared" si="22"/>
        <v>0</v>
      </c>
      <c r="X23" s="8">
        <f t="shared" si="23"/>
        <v>0</v>
      </c>
      <c r="Y23" s="8"/>
      <c r="Z23" s="8">
        <f t="shared" si="24"/>
        <v>0</v>
      </c>
      <c r="AA23" s="84"/>
      <c r="AB23" s="54"/>
      <c r="AC23" s="3">
        <v>12495571.74</v>
      </c>
      <c r="AD23" s="3">
        <v>0</v>
      </c>
      <c r="AE23" s="3">
        <v>107109.53</v>
      </c>
      <c r="AF23" s="3">
        <v>355378.55</v>
      </c>
      <c r="AG23" s="3">
        <v>343792.82</v>
      </c>
      <c r="AI23" s="54">
        <f t="shared" si="25"/>
        <v>0</v>
      </c>
      <c r="AJ23" s="54">
        <f t="shared" si="26"/>
        <v>0</v>
      </c>
      <c r="AK23" s="54">
        <f t="shared" si="27"/>
        <v>0</v>
      </c>
      <c r="AL23" s="54">
        <f t="shared" si="28"/>
        <v>0</v>
      </c>
      <c r="AM23" s="54">
        <f t="shared" si="29"/>
        <v>0</v>
      </c>
      <c r="AV23" s="54"/>
      <c r="AW23" s="54"/>
      <c r="AX23" s="54"/>
      <c r="AY23" s="54"/>
      <c r="AZ23" s="54"/>
      <c r="BA23" s="54"/>
    </row>
    <row r="24" spans="1:53" s="3" customFormat="1" ht="12.75" customHeight="1">
      <c r="A24" s="61">
        <v>150017</v>
      </c>
      <c r="B24" s="35" t="s">
        <v>25</v>
      </c>
      <c r="C24" s="24"/>
      <c r="D24" s="50">
        <v>1286399.61</v>
      </c>
      <c r="E24" s="50">
        <f>484473.83-484473.83</f>
        <v>0</v>
      </c>
      <c r="F24" s="50">
        <v>66637.75</v>
      </c>
      <c r="G24" s="50">
        <v>31278.23</v>
      </c>
      <c r="H24" s="50">
        <v>32291.53</v>
      </c>
      <c r="I24" s="50">
        <f>52539.89-52539.89</f>
        <v>0</v>
      </c>
      <c r="J24" s="62"/>
      <c r="K24" s="8">
        <f t="shared" si="16"/>
        <v>1156192.1</v>
      </c>
      <c r="L24" s="8">
        <v>1300000</v>
      </c>
      <c r="M24" s="63">
        <f t="shared" si="17"/>
        <v>0</v>
      </c>
      <c r="N24" s="8"/>
      <c r="O24" s="8"/>
      <c r="P24" s="8">
        <f t="shared" si="30"/>
        <v>0</v>
      </c>
      <c r="Q24" s="142">
        <f t="shared" si="31"/>
        <v>0</v>
      </c>
      <c r="R24" s="63">
        <f>'All A - ESITO 2010 comp reg'!P24/'All A - ESITO 2010 comp reg'!P$35*'ALL B - ESITO 2010 comp ASL'!R$35</f>
        <v>0</v>
      </c>
      <c r="S24" s="8">
        <f t="shared" si="18"/>
        <v>0</v>
      </c>
      <c r="T24" s="8">
        <f t="shared" si="19"/>
        <v>0</v>
      </c>
      <c r="U24" s="88">
        <f t="shared" si="20"/>
        <v>0</v>
      </c>
      <c r="V24" s="114" t="str">
        <f t="shared" si="21"/>
        <v>      n.s.</v>
      </c>
      <c r="W24" s="8">
        <f t="shared" si="22"/>
        <v>0</v>
      </c>
      <c r="X24" s="8">
        <f t="shared" si="23"/>
        <v>0</v>
      </c>
      <c r="Y24" s="8"/>
      <c r="Z24" s="8">
        <f t="shared" si="24"/>
        <v>0</v>
      </c>
      <c r="AA24" s="84">
        <f>ROUND((H24+G24+F24)/(D24)*E24,2)</f>
        <v>0</v>
      </c>
      <c r="AB24" s="54">
        <f>+AA24-I24</f>
        <v>0</v>
      </c>
      <c r="AC24" s="3">
        <v>1286399.61</v>
      </c>
      <c r="AD24" s="3">
        <v>484473.83</v>
      </c>
      <c r="AE24" s="3">
        <v>66637.75</v>
      </c>
      <c r="AF24" s="3">
        <v>31278.23</v>
      </c>
      <c r="AG24" s="3">
        <v>32291.53</v>
      </c>
      <c r="AH24" s="3">
        <v>52539.89</v>
      </c>
      <c r="AI24" s="54">
        <f t="shared" si="25"/>
        <v>0</v>
      </c>
      <c r="AJ24" s="54">
        <f t="shared" si="26"/>
        <v>484473.83</v>
      </c>
      <c r="AK24" s="54">
        <f t="shared" si="27"/>
        <v>0</v>
      </c>
      <c r="AL24" s="54">
        <f t="shared" si="28"/>
        <v>0</v>
      </c>
      <c r="AM24" s="54">
        <f t="shared" si="29"/>
        <v>0</v>
      </c>
      <c r="AV24" s="54"/>
      <c r="AW24" s="54"/>
      <c r="AX24" s="54"/>
      <c r="AY24" s="54"/>
      <c r="AZ24" s="54"/>
      <c r="BA24" s="54"/>
    </row>
    <row r="25" spans="1:53" s="3" customFormat="1" ht="12.75" customHeight="1">
      <c r="A25" s="61">
        <v>150018</v>
      </c>
      <c r="B25" s="32" t="s">
        <v>30</v>
      </c>
      <c r="C25" s="24" t="s">
        <v>103</v>
      </c>
      <c r="D25" s="50">
        <v>3862712.2</v>
      </c>
      <c r="E25" s="50">
        <v>804716.43</v>
      </c>
      <c r="F25" s="50">
        <v>115062.52</v>
      </c>
      <c r="G25" s="50">
        <v>23756.51</v>
      </c>
      <c r="H25" s="50">
        <v>124008.61</v>
      </c>
      <c r="I25" s="50">
        <v>50720.98</v>
      </c>
      <c r="J25" s="62"/>
      <c r="K25" s="8">
        <f t="shared" si="16"/>
        <v>4353880.01</v>
      </c>
      <c r="L25" s="8">
        <v>3850000</v>
      </c>
      <c r="M25" s="63">
        <f t="shared" si="17"/>
        <v>503880.0099999998</v>
      </c>
      <c r="N25" s="8"/>
      <c r="O25" s="8"/>
      <c r="P25" s="8">
        <f t="shared" si="30"/>
        <v>61353.38743551074</v>
      </c>
      <c r="Q25" s="142">
        <f t="shared" si="31"/>
        <v>61353.38743551074</v>
      </c>
      <c r="R25" s="63">
        <f>'All A - ESITO 2010 comp reg'!P25/'All A - ESITO 2010 comp reg'!P$35*'ALL B - ESITO 2010 comp ASL'!R$35</f>
        <v>0</v>
      </c>
      <c r="S25" s="8">
        <f t="shared" si="18"/>
        <v>20315.06</v>
      </c>
      <c r="T25" s="8">
        <f t="shared" si="19"/>
        <v>15163.711785922935</v>
      </c>
      <c r="U25" s="88">
        <f t="shared" si="20"/>
        <v>76517.09922143367</v>
      </c>
      <c r="V25" s="114">
        <f t="shared" si="21"/>
        <v>0.15185579444089023</v>
      </c>
      <c r="W25" s="8">
        <f t="shared" si="22"/>
        <v>427362.9107785661</v>
      </c>
      <c r="X25" s="8">
        <f t="shared" si="23"/>
        <v>427362.9107785661</v>
      </c>
      <c r="Y25" s="8"/>
      <c r="Z25" s="8">
        <f t="shared" si="24"/>
        <v>422211.562564489</v>
      </c>
      <c r="AA25" s="84">
        <f>ROUND((H25+G25+F25)/(D25)*E25,2)</f>
        <v>54754.72</v>
      </c>
      <c r="AB25" s="54">
        <f>+AA25-I25</f>
        <v>4033.739999999998</v>
      </c>
      <c r="AC25" s="3">
        <v>3862712.2</v>
      </c>
      <c r="AD25" s="3">
        <v>804716.43</v>
      </c>
      <c r="AE25" s="3">
        <v>115062.52</v>
      </c>
      <c r="AF25" s="3">
        <v>23756.51</v>
      </c>
      <c r="AG25" s="3">
        <v>124008.61</v>
      </c>
      <c r="AH25" s="3">
        <v>50720.98</v>
      </c>
      <c r="AI25" s="54">
        <f t="shared" si="25"/>
        <v>0</v>
      </c>
      <c r="AJ25" s="54">
        <f t="shared" si="26"/>
        <v>0</v>
      </c>
      <c r="AK25" s="54">
        <f t="shared" si="27"/>
        <v>0</v>
      </c>
      <c r="AL25" s="54">
        <f t="shared" si="28"/>
        <v>0</v>
      </c>
      <c r="AM25" s="54">
        <f t="shared" si="29"/>
        <v>0</v>
      </c>
      <c r="AV25" s="54"/>
      <c r="AW25" s="54"/>
      <c r="AX25" s="54"/>
      <c r="AY25" s="54"/>
      <c r="AZ25" s="54"/>
      <c r="BA25" s="54"/>
    </row>
    <row r="26" spans="1:53" s="3" customFormat="1" ht="12.75" customHeight="1">
      <c r="A26" s="61">
        <v>150019</v>
      </c>
      <c r="B26" s="35" t="s">
        <v>82</v>
      </c>
      <c r="C26" s="24" t="s">
        <v>106</v>
      </c>
      <c r="D26" s="50">
        <v>8357637.13</v>
      </c>
      <c r="E26" s="50">
        <v>3372368.21</v>
      </c>
      <c r="F26" s="50">
        <v>0</v>
      </c>
      <c r="G26" s="50">
        <v>334548.29</v>
      </c>
      <c r="H26" s="50">
        <v>486461.55</v>
      </c>
      <c r="I26" s="50">
        <v>331284.85</v>
      </c>
      <c r="J26" s="62" t="s">
        <v>130</v>
      </c>
      <c r="K26" s="8">
        <f t="shared" si="16"/>
        <v>10577710.65</v>
      </c>
      <c r="L26" s="8">
        <v>10200000</v>
      </c>
      <c r="M26" s="63">
        <f t="shared" si="17"/>
        <v>377710.6500000004</v>
      </c>
      <c r="N26" s="8"/>
      <c r="O26" s="8"/>
      <c r="P26" s="8">
        <f t="shared" si="30"/>
        <v>45990.76642863572</v>
      </c>
      <c r="Q26" s="142">
        <f t="shared" si="31"/>
        <v>45990.76642863572</v>
      </c>
      <c r="R26" s="63">
        <f>'All A - ESITO 2010 comp reg'!P26/'All A - ESITO 2010 comp reg'!P$35*'ALL B - ESITO 2010 comp ASL'!R$35</f>
        <v>0</v>
      </c>
      <c r="S26" s="8">
        <f t="shared" si="18"/>
        <v>15228.26</v>
      </c>
      <c r="T26" s="8">
        <f t="shared" si="19"/>
        <v>11366.784304401788</v>
      </c>
      <c r="U26" s="88">
        <f t="shared" si="20"/>
        <v>57357.550733037504</v>
      </c>
      <c r="V26" s="114">
        <f t="shared" si="21"/>
        <v>0.1518557941986477</v>
      </c>
      <c r="W26" s="8">
        <f t="shared" si="22"/>
        <v>320353.09926696285</v>
      </c>
      <c r="X26" s="8">
        <f t="shared" si="23"/>
        <v>320353.09926696285</v>
      </c>
      <c r="Y26" s="8"/>
      <c r="Z26" s="8">
        <f t="shared" si="24"/>
        <v>316491.6235713647</v>
      </c>
      <c r="AA26" s="84">
        <f>ROUND((H26+G26+F26)/(D26)*E26,2)</f>
        <v>331283.52</v>
      </c>
      <c r="AB26" s="54">
        <f>+AA26-I26</f>
        <v>-1.3299999999580905</v>
      </c>
      <c r="AC26" s="3">
        <v>8357637.13</v>
      </c>
      <c r="AD26" s="3">
        <v>3372368.21</v>
      </c>
      <c r="AE26" s="3">
        <v>0</v>
      </c>
      <c r="AF26" s="3">
        <v>334548.29</v>
      </c>
      <c r="AG26" s="3">
        <v>486461.55</v>
      </c>
      <c r="AH26" s="3">
        <v>331284.85</v>
      </c>
      <c r="AI26" s="54">
        <f t="shared" si="25"/>
        <v>0</v>
      </c>
      <c r="AJ26" s="54">
        <f t="shared" si="26"/>
        <v>0</v>
      </c>
      <c r="AK26" s="54">
        <f t="shared" si="27"/>
        <v>0</v>
      </c>
      <c r="AL26" s="54">
        <f t="shared" si="28"/>
        <v>0</v>
      </c>
      <c r="AM26" s="54">
        <f t="shared" si="29"/>
        <v>0</v>
      </c>
      <c r="AV26" s="54"/>
      <c r="AW26" s="54"/>
      <c r="AX26" s="54"/>
      <c r="AY26" s="54"/>
      <c r="AZ26" s="54"/>
      <c r="BA26" s="54"/>
    </row>
    <row r="27" spans="1:53" s="3" customFormat="1" ht="12.75" customHeight="1">
      <c r="A27" s="61">
        <v>150020</v>
      </c>
      <c r="B27" s="32" t="s">
        <v>29</v>
      </c>
      <c r="C27" s="33"/>
      <c r="D27" s="50">
        <v>27541267.26</v>
      </c>
      <c r="E27" s="50">
        <v>0</v>
      </c>
      <c r="F27" s="50">
        <v>1091.38</v>
      </c>
      <c r="G27" s="50">
        <v>331734.63</v>
      </c>
      <c r="H27" s="50">
        <v>155467.24</v>
      </c>
      <c r="I27" s="50"/>
      <c r="J27" s="62"/>
      <c r="K27" s="8">
        <f t="shared" si="16"/>
        <v>27052974.010000005</v>
      </c>
      <c r="L27" s="8">
        <v>25000000</v>
      </c>
      <c r="M27" s="63">
        <f t="shared" si="17"/>
        <v>2052974.0100000054</v>
      </c>
      <c r="N27" s="8"/>
      <c r="O27" s="8"/>
      <c r="P27" s="8">
        <f t="shared" si="30"/>
        <v>249974.01629519794</v>
      </c>
      <c r="Q27" s="142">
        <f t="shared" si="31"/>
        <v>249974.01629519794</v>
      </c>
      <c r="R27" s="63">
        <f>'All A - ESITO 2010 comp reg'!P27/'All A - ESITO 2010 comp reg'!P$35*'ALL B - ESITO 2010 comp ASL'!R$35</f>
        <v>0</v>
      </c>
      <c r="S27" s="8">
        <f t="shared" si="18"/>
        <v>82770.29</v>
      </c>
      <c r="T27" s="8">
        <f t="shared" si="19"/>
        <v>61781.98264899257</v>
      </c>
      <c r="U27" s="88">
        <f t="shared" si="20"/>
        <v>311755.9989441905</v>
      </c>
      <c r="V27" s="114">
        <f t="shared" si="21"/>
        <v>0.15185579428947066</v>
      </c>
      <c r="W27" s="8">
        <f t="shared" si="22"/>
        <v>1741218.0110558148</v>
      </c>
      <c r="X27" s="8">
        <f t="shared" si="23"/>
        <v>1741218.0110558148</v>
      </c>
      <c r="Y27" s="8"/>
      <c r="Z27" s="8">
        <f t="shared" si="24"/>
        <v>1720229.7037048074</v>
      </c>
      <c r="AA27" s="84"/>
      <c r="AB27" s="54"/>
      <c r="AC27" s="3">
        <v>27541267.26</v>
      </c>
      <c r="AD27" s="3">
        <v>0</v>
      </c>
      <c r="AE27" s="3">
        <v>1091.38</v>
      </c>
      <c r="AF27" s="3">
        <v>331734.63</v>
      </c>
      <c r="AG27" s="3">
        <v>155467.24</v>
      </c>
      <c r="AI27" s="54">
        <f t="shared" si="25"/>
        <v>0</v>
      </c>
      <c r="AJ27" s="54">
        <f t="shared" si="26"/>
        <v>0</v>
      </c>
      <c r="AK27" s="54">
        <f t="shared" si="27"/>
        <v>0</v>
      </c>
      <c r="AL27" s="54">
        <f t="shared" si="28"/>
        <v>0</v>
      </c>
      <c r="AM27" s="54">
        <f t="shared" si="29"/>
        <v>0</v>
      </c>
      <c r="AV27" s="54"/>
      <c r="AW27" s="54"/>
      <c r="AX27" s="54"/>
      <c r="AY27" s="54"/>
      <c r="AZ27" s="54"/>
      <c r="BA27" s="54"/>
    </row>
    <row r="28" spans="1:53" s="3" customFormat="1" ht="12.75" customHeight="1">
      <c r="A28" s="61">
        <v>150021</v>
      </c>
      <c r="B28" s="35" t="s">
        <v>83</v>
      </c>
      <c r="C28" s="24" t="s">
        <v>105</v>
      </c>
      <c r="D28" s="50">
        <v>36291340.8</v>
      </c>
      <c r="E28" s="50">
        <v>650679.59</v>
      </c>
      <c r="F28" s="50">
        <v>59660.31</v>
      </c>
      <c r="G28" s="50">
        <v>589619.34</v>
      </c>
      <c r="H28" s="50">
        <v>583360.57</v>
      </c>
      <c r="I28" s="50">
        <v>117789.41</v>
      </c>
      <c r="J28" s="62"/>
      <c r="K28" s="8">
        <f t="shared" si="16"/>
        <v>35591590.76</v>
      </c>
      <c r="L28" s="8">
        <v>31000000</v>
      </c>
      <c r="M28" s="63">
        <f t="shared" si="17"/>
        <v>4591590.759999998</v>
      </c>
      <c r="N28" s="8"/>
      <c r="O28" s="8"/>
      <c r="P28" s="8">
        <f t="shared" si="30"/>
        <v>559080.8153782311</v>
      </c>
      <c r="Q28" s="142">
        <f t="shared" si="31"/>
        <v>559080.8153782311</v>
      </c>
      <c r="R28" s="63">
        <f>'All A - ESITO 2010 comp reg'!P28/'All A - ESITO 2010 comp reg'!P$35*'ALL B - ESITO 2010 comp ASL'!R$35</f>
        <v>0</v>
      </c>
      <c r="S28" s="8">
        <f t="shared" si="18"/>
        <v>185120.35</v>
      </c>
      <c r="T28" s="8">
        <f t="shared" si="19"/>
        <v>138178.84708472976</v>
      </c>
      <c r="U28" s="88">
        <f t="shared" si="20"/>
        <v>697259.6624629609</v>
      </c>
      <c r="V28" s="114">
        <f t="shared" si="21"/>
        <v>0.15185579440946545</v>
      </c>
      <c r="W28" s="8">
        <f t="shared" si="22"/>
        <v>3894331.097537037</v>
      </c>
      <c r="X28" s="8">
        <f t="shared" si="23"/>
        <v>3894331.097537037</v>
      </c>
      <c r="Y28" s="8"/>
      <c r="Z28" s="8">
        <f t="shared" si="24"/>
        <v>3847389.594621767</v>
      </c>
      <c r="AA28" s="84">
        <f>ROUND((H28+G28+F28)/(D28)*E28,2)</f>
        <v>22100.42</v>
      </c>
      <c r="AB28" s="54">
        <f>+AA28-I28</f>
        <v>-95688.99</v>
      </c>
      <c r="AC28" s="3">
        <v>36291340.8</v>
      </c>
      <c r="AD28" s="3">
        <v>650679.59</v>
      </c>
      <c r="AE28" s="3">
        <v>59660.31</v>
      </c>
      <c r="AF28" s="3">
        <v>589619.34</v>
      </c>
      <c r="AG28" s="3">
        <v>583360.57</v>
      </c>
      <c r="AH28" s="3">
        <v>117789.41</v>
      </c>
      <c r="AI28" s="54">
        <f t="shared" si="25"/>
        <v>0</v>
      </c>
      <c r="AJ28" s="54">
        <f t="shared" si="26"/>
        <v>0</v>
      </c>
      <c r="AK28" s="54">
        <f t="shared" si="27"/>
        <v>0</v>
      </c>
      <c r="AL28" s="54">
        <f t="shared" si="28"/>
        <v>0</v>
      </c>
      <c r="AM28" s="54">
        <f t="shared" si="29"/>
        <v>0</v>
      </c>
      <c r="AV28" s="54"/>
      <c r="AW28" s="54"/>
      <c r="AX28" s="54"/>
      <c r="AY28" s="54"/>
      <c r="AZ28" s="54"/>
      <c r="BA28" s="54"/>
    </row>
    <row r="29" spans="1:53" s="3" customFormat="1" ht="12.75" customHeight="1">
      <c r="A29" s="61">
        <v>150022</v>
      </c>
      <c r="B29" s="32" t="s">
        <v>28</v>
      </c>
      <c r="C29" s="24" t="s">
        <v>103</v>
      </c>
      <c r="D29" s="50">
        <v>4835491.49</v>
      </c>
      <c r="E29" s="50">
        <v>971141.18</v>
      </c>
      <c r="F29" s="50">
        <v>1166.46</v>
      </c>
      <c r="G29" s="50">
        <v>89067.5</v>
      </c>
      <c r="H29" s="50">
        <v>106222.7</v>
      </c>
      <c r="I29" s="50">
        <v>37912.58</v>
      </c>
      <c r="J29" s="62"/>
      <c r="K29" s="8">
        <f t="shared" si="16"/>
        <v>5572263.43</v>
      </c>
      <c r="L29" s="8">
        <v>4100000</v>
      </c>
      <c r="M29" s="63">
        <f t="shared" si="17"/>
        <v>1472263.4299999997</v>
      </c>
      <c r="N29" s="8"/>
      <c r="O29" s="8"/>
      <c r="P29" s="8">
        <f t="shared" si="30"/>
        <v>179265.592671406</v>
      </c>
      <c r="Q29" s="142">
        <f t="shared" si="31"/>
        <v>179265.592671406</v>
      </c>
      <c r="R29" s="63">
        <f>'All A - ESITO 2010 comp reg'!P29/'All A - ESITO 2010 comp reg'!P$35*'ALL B - ESITO 2010 comp ASL'!R$35</f>
        <v>0</v>
      </c>
      <c r="S29" s="8">
        <f t="shared" si="18"/>
        <v>59357.63</v>
      </c>
      <c r="T29" s="8">
        <f t="shared" si="19"/>
        <v>44306.13988360338</v>
      </c>
      <c r="U29" s="88">
        <f t="shared" si="20"/>
        <v>223571.73255500937</v>
      </c>
      <c r="V29" s="114">
        <f t="shared" si="21"/>
        <v>0.151855794282012</v>
      </c>
      <c r="W29" s="8">
        <f t="shared" si="22"/>
        <v>1248691.6974449903</v>
      </c>
      <c r="X29" s="8">
        <f t="shared" si="23"/>
        <v>1248691.6974449903</v>
      </c>
      <c r="Y29" s="8"/>
      <c r="Z29" s="8">
        <f t="shared" si="24"/>
        <v>1233640.2073285938</v>
      </c>
      <c r="AA29" s="84">
        <f>ROUND((H29+G29+F29)/(D29)*E29,2)</f>
        <v>39455.59</v>
      </c>
      <c r="AB29" s="54">
        <f>+AA29-I29</f>
        <v>1543.0099999999948</v>
      </c>
      <c r="AC29" s="3">
        <v>4835491.49</v>
      </c>
      <c r="AD29" s="3">
        <v>971141.18</v>
      </c>
      <c r="AE29" s="3">
        <v>1166.46</v>
      </c>
      <c r="AF29" s="3">
        <v>89067.5</v>
      </c>
      <c r="AG29" s="3">
        <v>106222.7</v>
      </c>
      <c r="AH29" s="3">
        <v>37912.58</v>
      </c>
      <c r="AI29" s="54">
        <f t="shared" si="25"/>
        <v>0</v>
      </c>
      <c r="AJ29" s="54">
        <f t="shared" si="26"/>
        <v>0</v>
      </c>
      <c r="AK29" s="54">
        <f t="shared" si="27"/>
        <v>0</v>
      </c>
      <c r="AL29" s="54">
        <f t="shared" si="28"/>
        <v>0</v>
      </c>
      <c r="AM29" s="54">
        <f t="shared" si="29"/>
        <v>0</v>
      </c>
      <c r="AV29" s="54"/>
      <c r="AW29" s="54"/>
      <c r="AX29" s="54"/>
      <c r="AY29" s="54"/>
      <c r="AZ29" s="54"/>
      <c r="BA29" s="54"/>
    </row>
    <row r="30" spans="1:53" s="3" customFormat="1" ht="12.75" customHeight="1">
      <c r="A30" s="61">
        <v>150023</v>
      </c>
      <c r="B30" s="35" t="s">
        <v>22</v>
      </c>
      <c r="C30" s="24" t="s">
        <v>105</v>
      </c>
      <c r="D30" s="50">
        <v>4504637.91</v>
      </c>
      <c r="E30" s="50">
        <v>757422.74</v>
      </c>
      <c r="F30" s="50">
        <v>0</v>
      </c>
      <c r="G30" s="50">
        <v>124354.06</v>
      </c>
      <c r="H30" s="50">
        <v>110924.2</v>
      </c>
      <c r="I30" s="91">
        <f>247661.42-235278.26</f>
        <v>12383.160000000003</v>
      </c>
      <c r="J30" s="62"/>
      <c r="K30" s="8">
        <f t="shared" si="16"/>
        <v>5014399.23</v>
      </c>
      <c r="L30" s="8">
        <v>3800000</v>
      </c>
      <c r="M30" s="63">
        <f t="shared" si="17"/>
        <v>1214399.2300000004</v>
      </c>
      <c r="N30" s="8"/>
      <c r="O30" s="8"/>
      <c r="P30" s="8">
        <f t="shared" si="30"/>
        <v>147867.55771394062</v>
      </c>
      <c r="Q30" s="142">
        <f t="shared" si="31"/>
        <v>147867.55771394062</v>
      </c>
      <c r="R30" s="63">
        <f>'All A - ESITO 2010 comp reg'!P30/'All A - ESITO 2010 comp reg'!P$35*'ALL B - ESITO 2010 comp ASL'!R$35</f>
        <v>0</v>
      </c>
      <c r="S30" s="8">
        <f t="shared" si="18"/>
        <v>48961.25</v>
      </c>
      <c r="T30" s="8">
        <f t="shared" si="19"/>
        <v>36546.00198939101</v>
      </c>
      <c r="U30" s="88">
        <f t="shared" si="20"/>
        <v>184413.55970333162</v>
      </c>
      <c r="V30" s="114">
        <f t="shared" si="21"/>
        <v>0.15185579432830465</v>
      </c>
      <c r="W30" s="8">
        <f t="shared" si="22"/>
        <v>1029985.6702966688</v>
      </c>
      <c r="X30" s="8">
        <f t="shared" si="23"/>
        <v>1029985.6702966688</v>
      </c>
      <c r="Y30" s="8"/>
      <c r="Z30" s="8">
        <f t="shared" si="24"/>
        <v>1017570.4222860597</v>
      </c>
      <c r="AA30" s="84"/>
      <c r="AB30" s="54"/>
      <c r="AC30" s="3">
        <v>4504637.91</v>
      </c>
      <c r="AD30" s="3">
        <v>757422.74</v>
      </c>
      <c r="AE30" s="3">
        <v>0</v>
      </c>
      <c r="AF30" s="3">
        <v>130899.06</v>
      </c>
      <c r="AG30" s="3">
        <v>116762.36</v>
      </c>
      <c r="AI30" s="54">
        <f t="shared" si="25"/>
        <v>0</v>
      </c>
      <c r="AJ30" s="54">
        <f t="shared" si="26"/>
        <v>0</v>
      </c>
      <c r="AK30" s="54">
        <f t="shared" si="27"/>
        <v>0</v>
      </c>
      <c r="AL30" s="54">
        <f t="shared" si="28"/>
        <v>6545</v>
      </c>
      <c r="AM30" s="54">
        <f t="shared" si="29"/>
        <v>5838.1600000000035</v>
      </c>
      <c r="AV30" s="54"/>
      <c r="AW30" s="54"/>
      <c r="AX30" s="54"/>
      <c r="AY30" s="54"/>
      <c r="AZ30" s="54"/>
      <c r="BA30" s="54"/>
    </row>
    <row r="31" spans="1:53" s="3" customFormat="1" ht="12.75" customHeight="1">
      <c r="A31" s="61">
        <v>150024</v>
      </c>
      <c r="B31" s="35" t="s">
        <v>86</v>
      </c>
      <c r="C31" s="24"/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/>
      <c r="J31" s="62"/>
      <c r="K31" s="8">
        <f t="shared" si="16"/>
        <v>0</v>
      </c>
      <c r="L31" s="8">
        <v>400000</v>
      </c>
      <c r="M31" s="63">
        <f t="shared" si="17"/>
        <v>0</v>
      </c>
      <c r="N31" s="8"/>
      <c r="O31" s="8"/>
      <c r="P31" s="8">
        <f t="shared" si="30"/>
        <v>0</v>
      </c>
      <c r="Q31" s="142">
        <f t="shared" si="31"/>
        <v>0</v>
      </c>
      <c r="R31" s="63">
        <f>'All A - ESITO 2010 comp reg'!P31/'All A - ESITO 2010 comp reg'!P$35*'ALL B - ESITO 2010 comp ASL'!R$35</f>
        <v>0</v>
      </c>
      <c r="S31" s="8">
        <f t="shared" si="18"/>
        <v>0</v>
      </c>
      <c r="T31" s="8">
        <f t="shared" si="19"/>
        <v>0</v>
      </c>
      <c r="U31" s="88">
        <f t="shared" si="20"/>
        <v>0</v>
      </c>
      <c r="V31" s="114" t="str">
        <f t="shared" si="21"/>
        <v>      n.s.</v>
      </c>
      <c r="W31" s="8">
        <f t="shared" si="22"/>
        <v>0</v>
      </c>
      <c r="X31" s="8">
        <f t="shared" si="23"/>
        <v>0</v>
      </c>
      <c r="Y31" s="8"/>
      <c r="Z31" s="8">
        <f t="shared" si="24"/>
        <v>0</v>
      </c>
      <c r="AA31" s="84"/>
      <c r="AB31" s="54"/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I31" s="54">
        <f t="shared" si="25"/>
        <v>0</v>
      </c>
      <c r="AJ31" s="54">
        <f t="shared" si="26"/>
        <v>0</v>
      </c>
      <c r="AK31" s="54">
        <f t="shared" si="27"/>
        <v>0</v>
      </c>
      <c r="AL31" s="54">
        <f t="shared" si="28"/>
        <v>0</v>
      </c>
      <c r="AM31" s="54">
        <f t="shared" si="29"/>
        <v>0</v>
      </c>
      <c r="AV31" s="54"/>
      <c r="AW31" s="54"/>
      <c r="AX31" s="54"/>
      <c r="AY31" s="54"/>
      <c r="AZ31" s="54"/>
      <c r="BA31" s="54"/>
    </row>
    <row r="32" spans="1:53" s="3" customFormat="1" ht="12.75" customHeight="1">
      <c r="A32" s="61">
        <v>150025</v>
      </c>
      <c r="B32" s="32" t="s">
        <v>21</v>
      </c>
      <c r="C32" s="24" t="s">
        <v>106</v>
      </c>
      <c r="D32" s="50">
        <v>3104243.64</v>
      </c>
      <c r="E32" s="50">
        <v>1533778.72</v>
      </c>
      <c r="F32" s="50">
        <v>0</v>
      </c>
      <c r="G32" s="50">
        <v>0</v>
      </c>
      <c r="H32" s="50">
        <v>0</v>
      </c>
      <c r="I32" s="50"/>
      <c r="J32" s="62"/>
      <c r="K32" s="8">
        <f t="shared" si="16"/>
        <v>4638022.36</v>
      </c>
      <c r="L32" s="8">
        <v>3950000</v>
      </c>
      <c r="M32" s="63">
        <f t="shared" si="17"/>
        <v>688022.3600000003</v>
      </c>
      <c r="N32" s="8"/>
      <c r="O32" s="8"/>
      <c r="P32" s="8">
        <f t="shared" si="30"/>
        <v>83774.9098587469</v>
      </c>
      <c r="Q32" s="142">
        <f t="shared" si="31"/>
        <v>83774.9098587469</v>
      </c>
      <c r="R32" s="63">
        <f>'All A - ESITO 2010 comp reg'!P32/'All A - ESITO 2010 comp reg'!P$35*'ALL B - ESITO 2010 comp ASL'!R$35</f>
        <v>0</v>
      </c>
      <c r="S32" s="8">
        <f t="shared" si="18"/>
        <v>27739.18</v>
      </c>
      <c r="T32" s="8">
        <f t="shared" si="19"/>
        <v>20705.272014637692</v>
      </c>
      <c r="U32" s="88">
        <f t="shared" si="20"/>
        <v>104480.1818733846</v>
      </c>
      <c r="V32" s="114">
        <f t="shared" si="21"/>
        <v>0.1518557941538187</v>
      </c>
      <c r="W32" s="8">
        <f t="shared" si="22"/>
        <v>583542.1781266157</v>
      </c>
      <c r="X32" s="8">
        <f t="shared" si="23"/>
        <v>583542.1781266157</v>
      </c>
      <c r="Y32" s="8"/>
      <c r="Z32" s="8">
        <f t="shared" si="24"/>
        <v>576508.2701412534</v>
      </c>
      <c r="AA32" s="84">
        <f>ROUND((H32+G32+F32)/(D32)*E32,2)</f>
        <v>0</v>
      </c>
      <c r="AB32" s="54">
        <f>+AA32-I32</f>
        <v>0</v>
      </c>
      <c r="AC32" s="3">
        <v>3104243.64</v>
      </c>
      <c r="AD32" s="3">
        <v>1533778.72</v>
      </c>
      <c r="AE32" s="3">
        <v>0</v>
      </c>
      <c r="AF32" s="3">
        <v>0</v>
      </c>
      <c r="AG32" s="3">
        <v>0</v>
      </c>
      <c r="AI32" s="54">
        <f t="shared" si="25"/>
        <v>0</v>
      </c>
      <c r="AJ32" s="54">
        <f t="shared" si="26"/>
        <v>0</v>
      </c>
      <c r="AK32" s="54">
        <f t="shared" si="27"/>
        <v>0</v>
      </c>
      <c r="AL32" s="54">
        <f t="shared" si="28"/>
        <v>0</v>
      </c>
      <c r="AM32" s="54">
        <f t="shared" si="29"/>
        <v>0</v>
      </c>
      <c r="AV32" s="54"/>
      <c r="AW32" s="54"/>
      <c r="AX32" s="54"/>
      <c r="AY32" s="54"/>
      <c r="AZ32" s="54"/>
      <c r="BA32" s="54"/>
    </row>
    <row r="33" spans="1:53" s="3" customFormat="1" ht="12.75" customHeight="1">
      <c r="A33" s="61">
        <v>150028</v>
      </c>
      <c r="B33" s="35" t="s">
        <v>23</v>
      </c>
      <c r="C33" s="36"/>
      <c r="D33" s="50">
        <v>11756557.01</v>
      </c>
      <c r="E33" s="50">
        <v>0</v>
      </c>
      <c r="F33" s="50">
        <v>0</v>
      </c>
      <c r="G33" s="50">
        <v>23032.51</v>
      </c>
      <c r="H33" s="50">
        <v>50956.93</v>
      </c>
      <c r="I33" s="50"/>
      <c r="J33" s="62"/>
      <c r="K33" s="8">
        <f t="shared" si="16"/>
        <v>11682567.57</v>
      </c>
      <c r="L33" s="9">
        <v>11900000</v>
      </c>
      <c r="M33" s="63">
        <f t="shared" si="17"/>
        <v>0</v>
      </c>
      <c r="N33" s="8"/>
      <c r="O33" s="8"/>
      <c r="P33" s="8">
        <f t="shared" si="30"/>
        <v>0</v>
      </c>
      <c r="Q33" s="142">
        <f t="shared" si="31"/>
        <v>0</v>
      </c>
      <c r="R33" s="63">
        <f>'All A - ESITO 2010 comp reg'!P33/'All A - ESITO 2010 comp reg'!P$35*'ALL B - ESITO 2010 comp ASL'!R$35</f>
        <v>0</v>
      </c>
      <c r="S33" s="8">
        <f t="shared" si="18"/>
        <v>0</v>
      </c>
      <c r="T33" s="8">
        <f t="shared" si="19"/>
        <v>0</v>
      </c>
      <c r="U33" s="88">
        <f t="shared" si="20"/>
        <v>0</v>
      </c>
      <c r="V33" s="114" t="str">
        <f t="shared" si="21"/>
        <v>      n.s.</v>
      </c>
      <c r="W33" s="8">
        <f t="shared" si="22"/>
        <v>0</v>
      </c>
      <c r="X33" s="8">
        <f t="shared" si="23"/>
        <v>0</v>
      </c>
      <c r="Y33" s="8"/>
      <c r="Z33" s="8">
        <f t="shared" si="24"/>
        <v>0</v>
      </c>
      <c r="AA33" s="84"/>
      <c r="AB33" s="54"/>
      <c r="AC33" s="3">
        <v>11756557.01</v>
      </c>
      <c r="AD33" s="3">
        <v>0</v>
      </c>
      <c r="AE33" s="3">
        <v>0</v>
      </c>
      <c r="AF33" s="3">
        <v>23032.51</v>
      </c>
      <c r="AG33" s="3">
        <v>50956.93</v>
      </c>
      <c r="AI33" s="54">
        <f t="shared" si="25"/>
        <v>0</v>
      </c>
      <c r="AJ33" s="54">
        <f t="shared" si="26"/>
        <v>0</v>
      </c>
      <c r="AK33" s="54">
        <f t="shared" si="27"/>
        <v>0</v>
      </c>
      <c r="AL33" s="54">
        <f t="shared" si="28"/>
        <v>0</v>
      </c>
      <c r="AM33" s="54">
        <f t="shared" si="29"/>
        <v>0</v>
      </c>
      <c r="AV33" s="54"/>
      <c r="AW33" s="54"/>
      <c r="AX33" s="54"/>
      <c r="AY33" s="54"/>
      <c r="AZ33" s="54"/>
      <c r="BA33" s="54"/>
    </row>
    <row r="34" spans="1:53" s="3" customFormat="1" ht="12.75" customHeight="1">
      <c r="A34" s="61">
        <v>150423</v>
      </c>
      <c r="B34" s="32" t="s">
        <v>26</v>
      </c>
      <c r="C34" s="24" t="s">
        <v>105</v>
      </c>
      <c r="D34" s="50">
        <v>8201307.84</v>
      </c>
      <c r="E34" s="50">
        <v>1216194.36</v>
      </c>
      <c r="F34" s="50">
        <v>0</v>
      </c>
      <c r="G34" s="50">
        <v>108694.15</v>
      </c>
      <c r="H34" s="50">
        <v>827840.79</v>
      </c>
      <c r="I34" s="50">
        <v>165271.25</v>
      </c>
      <c r="J34" s="92"/>
      <c r="K34" s="8">
        <f t="shared" si="16"/>
        <v>8315696.009999998</v>
      </c>
      <c r="L34" s="9">
        <v>8500000</v>
      </c>
      <c r="M34" s="63">
        <f t="shared" si="17"/>
        <v>0</v>
      </c>
      <c r="N34" s="9"/>
      <c r="O34" s="9"/>
      <c r="P34" s="8">
        <f t="shared" si="30"/>
        <v>0</v>
      </c>
      <c r="Q34" s="142">
        <f t="shared" si="31"/>
        <v>0</v>
      </c>
      <c r="R34" s="63">
        <f>'All A - ESITO 2010 comp reg'!P34/'All A - ESITO 2010 comp reg'!P$35*'ALL B - ESITO 2010 comp ASL'!R$35</f>
        <v>0</v>
      </c>
      <c r="S34" s="8">
        <f t="shared" si="18"/>
        <v>0</v>
      </c>
      <c r="T34" s="8">
        <f t="shared" si="19"/>
        <v>0</v>
      </c>
      <c r="U34" s="88">
        <f t="shared" si="20"/>
        <v>0</v>
      </c>
      <c r="V34" s="119" t="str">
        <f t="shared" si="21"/>
        <v>      n.s.</v>
      </c>
      <c r="W34" s="8">
        <f t="shared" si="22"/>
        <v>0</v>
      </c>
      <c r="X34" s="8">
        <f t="shared" si="23"/>
        <v>0</v>
      </c>
      <c r="Y34" s="9"/>
      <c r="Z34" s="8">
        <f t="shared" si="24"/>
        <v>0</v>
      </c>
      <c r="AA34" s="84">
        <f>ROUND((H34+G34+F34)/(D34)*E34,2)</f>
        <v>138881.33</v>
      </c>
      <c r="AB34" s="54">
        <f>+AA34-I34</f>
        <v>-26389.920000000013</v>
      </c>
      <c r="AC34" s="3">
        <v>8201307.84</v>
      </c>
      <c r="AD34" s="3">
        <v>1216194.36</v>
      </c>
      <c r="AE34" s="3">
        <v>0</v>
      </c>
      <c r="AF34" s="3">
        <v>108694.15</v>
      </c>
      <c r="AG34" s="3">
        <v>827840.79</v>
      </c>
      <c r="AH34" s="3">
        <v>165271.25</v>
      </c>
      <c r="AI34" s="54">
        <f t="shared" si="25"/>
        <v>0</v>
      </c>
      <c r="AJ34" s="54">
        <f t="shared" si="26"/>
        <v>0</v>
      </c>
      <c r="AK34" s="54">
        <f t="shared" si="27"/>
        <v>0</v>
      </c>
      <c r="AL34" s="54">
        <f t="shared" si="28"/>
        <v>0</v>
      </c>
      <c r="AM34" s="54">
        <f t="shared" si="29"/>
        <v>0</v>
      </c>
      <c r="AV34" s="54"/>
      <c r="AW34" s="54"/>
      <c r="AX34" s="54"/>
      <c r="AY34" s="54"/>
      <c r="AZ34" s="54"/>
      <c r="BA34" s="54"/>
    </row>
    <row r="35" spans="1:53" s="3" customFormat="1" ht="15.75" customHeight="1">
      <c r="A35" s="58"/>
      <c r="B35" s="26" t="s">
        <v>14</v>
      </c>
      <c r="C35" s="27"/>
      <c r="D35" s="64">
        <f aca="true" t="shared" si="32" ref="D35:I35">SUM(D22:D34)</f>
        <v>126437167.64999999</v>
      </c>
      <c r="E35" s="64">
        <f t="shared" si="32"/>
        <v>10266908.889999999</v>
      </c>
      <c r="F35" s="64">
        <f t="shared" si="32"/>
        <v>355018.85000000003</v>
      </c>
      <c r="G35" s="64">
        <f t="shared" si="32"/>
        <v>2077553.26</v>
      </c>
      <c r="H35" s="64">
        <f t="shared" si="32"/>
        <v>2836114.5599999996</v>
      </c>
      <c r="I35" s="64">
        <f t="shared" si="32"/>
        <v>731798.12</v>
      </c>
      <c r="J35" s="65"/>
      <c r="K35" s="64">
        <f aca="true" t="shared" si="33" ref="K35:Z35">SUM(K22:K34)</f>
        <v>130703591.75</v>
      </c>
      <c r="L35" s="64">
        <f t="shared" si="33"/>
        <v>120200000</v>
      </c>
      <c r="M35" s="64">
        <f t="shared" si="33"/>
        <v>11959845.230000004</v>
      </c>
      <c r="N35" s="64">
        <f t="shared" si="33"/>
        <v>0</v>
      </c>
      <c r="O35" s="64">
        <f t="shared" si="33"/>
        <v>0</v>
      </c>
      <c r="P35" s="64">
        <f>IF('All A - ESITO 2010 comp reg'!P35&gt;'All A - ESITO 2010 comp reg'!M35,'All A - ESITO 2010 comp reg'!M35,'All A - ESITO 2010 comp reg'!P35)</f>
        <v>1456253.4800000018</v>
      </c>
      <c r="Q35" s="64">
        <f>IF('All A - ESITO 2010 comp reg'!P35&gt;('All A - ESITO 2010 comp reg'!M35+'All A - ESITO 2010 comp reg'!N35),('All A - ESITO 2010 comp reg'!M35+'All A - ESITO 2010 comp reg'!N35),'All A - ESITO 2010 comp reg'!P35)</f>
        <v>1456253.4800000018</v>
      </c>
      <c r="R35" s="64">
        <f>+'All A - ESITO 2010 comp reg'!P35-'ALL B - ESITO 2010 comp ASL'!P35</f>
        <v>0</v>
      </c>
      <c r="S35" s="64">
        <f t="shared" si="33"/>
        <v>482188.19</v>
      </c>
      <c r="T35" s="64">
        <f t="shared" si="33"/>
        <v>359918.3176113309</v>
      </c>
      <c r="U35" s="95">
        <f t="shared" si="33"/>
        <v>1816171.7976113327</v>
      </c>
      <c r="V35" s="120">
        <f t="shared" si="21"/>
        <v>0.1518557943421925</v>
      </c>
      <c r="W35" s="64">
        <f t="shared" si="33"/>
        <v>10143673.43238867</v>
      </c>
      <c r="X35" s="64">
        <f t="shared" si="33"/>
        <v>10143673.43238867</v>
      </c>
      <c r="Y35" s="64">
        <f t="shared" si="33"/>
        <v>0</v>
      </c>
      <c r="Z35" s="64">
        <f t="shared" si="33"/>
        <v>10021403.56</v>
      </c>
      <c r="AV35" s="54"/>
      <c r="AW35" s="54"/>
      <c r="AX35" s="54"/>
      <c r="AY35" s="54"/>
      <c r="AZ35" s="54"/>
      <c r="BA35" s="54"/>
    </row>
    <row r="36" spans="1:26" s="3" customFormat="1" ht="6" customHeight="1">
      <c r="A36" s="56"/>
      <c r="B36" s="26"/>
      <c r="C36" s="3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98"/>
      <c r="V36" s="115"/>
      <c r="W36" s="104"/>
      <c r="X36" s="104"/>
      <c r="Y36" s="104"/>
      <c r="Z36" s="104"/>
    </row>
    <row r="37" spans="1:26" s="3" customFormat="1" ht="15.75" customHeight="1">
      <c r="A37" s="30" t="s">
        <v>31</v>
      </c>
      <c r="B37" s="37"/>
      <c r="C37" s="38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7"/>
      <c r="V37" s="116"/>
      <c r="W37" s="90"/>
      <c r="X37" s="90"/>
      <c r="Y37" s="90"/>
      <c r="Z37" s="90"/>
    </row>
    <row r="38" spans="1:39" s="3" customFormat="1" ht="12.75" customHeight="1">
      <c r="A38" s="61">
        <v>150075</v>
      </c>
      <c r="B38" s="26" t="s">
        <v>39</v>
      </c>
      <c r="C38" s="24" t="s">
        <v>105</v>
      </c>
      <c r="D38" s="50">
        <v>4857983.25</v>
      </c>
      <c r="E38" s="50">
        <v>879054.15</v>
      </c>
      <c r="F38" s="50">
        <v>255.24</v>
      </c>
      <c r="G38" s="50">
        <v>695.556</v>
      </c>
      <c r="H38" s="50">
        <v>107291.3</v>
      </c>
      <c r="I38" s="50">
        <v>19586.45</v>
      </c>
      <c r="J38" s="62" t="s">
        <v>116</v>
      </c>
      <c r="K38" s="8">
        <f aca="true" t="shared" si="34" ref="K38:K53">+D38+E38-F38-G38-H38-I38</f>
        <v>5609208.854</v>
      </c>
      <c r="L38" s="8">
        <v>4500000</v>
      </c>
      <c r="M38" s="63">
        <f aca="true" t="shared" si="35" ref="M38:M53">IF(K38&gt;L38,(K38-L38),0)</f>
        <v>1109208.8540000003</v>
      </c>
      <c r="N38" s="8"/>
      <c r="O38" s="8"/>
      <c r="P38" s="8">
        <f>+M38/M$54*P$54</f>
        <v>1109208.8540000003</v>
      </c>
      <c r="Q38" s="142">
        <f>+(M38+N38)/(M$54+N$54)*Q$54</f>
        <v>871139.2080101533</v>
      </c>
      <c r="R38" s="63">
        <f>'All A - ESITO 2010 comp reg'!P38/'All A - ESITO 2010 comp reg'!P$54*'ALL B - ESITO 2010 comp ASL'!R$54</f>
        <v>0</v>
      </c>
      <c r="S38" s="8">
        <f aca="true" t="shared" si="36" ref="S38:S53">ROUND(R$100/(M$100-P$100)*(M38-P38),2)</f>
        <v>0</v>
      </c>
      <c r="T38" s="8">
        <f aca="true" t="shared" si="37" ref="T38:T53">+Z38/$Z$100*$AA$100</f>
        <v>0</v>
      </c>
      <c r="U38" s="88">
        <f aca="true" t="shared" si="38" ref="U38:U53">IF((P38+S38)&lt;(Q38+T38),P38+S38,Q38+T38)</f>
        <v>871139.2080101533</v>
      </c>
      <c r="V38" s="114">
        <f aca="true" t="shared" si="39" ref="V38:V54">IF(M38=0,"      n.s.",+U38/M38)</f>
        <v>0.7853698650787664</v>
      </c>
      <c r="W38" s="8">
        <f aca="true" t="shared" si="40" ref="W38:W53">+M38-U38</f>
        <v>238069.64598984702</v>
      </c>
      <c r="X38" s="8">
        <f aca="true" t="shared" si="41" ref="X38:X53">+W38</f>
        <v>238069.64598984702</v>
      </c>
      <c r="Y38" s="8"/>
      <c r="Z38" s="8">
        <f aca="true" t="shared" si="42" ref="Z38:Z53">+M38+N38-P38-S38</f>
        <v>0</v>
      </c>
      <c r="AA38" s="84">
        <f>ROUND((H38+G38+F38)/(D38)*E38,2)</f>
        <v>19586.45</v>
      </c>
      <c r="AB38" s="54">
        <f>+AA38-I38</f>
        <v>0</v>
      </c>
      <c r="AH38" s="54"/>
      <c r="AI38" s="54"/>
      <c r="AJ38" s="54"/>
      <c r="AK38" s="54"/>
      <c r="AL38" s="54"/>
      <c r="AM38" s="54"/>
    </row>
    <row r="39" spans="1:39" s="3" customFormat="1" ht="12.75" customHeight="1">
      <c r="A39" s="61">
        <v>150076</v>
      </c>
      <c r="B39" s="32" t="s">
        <v>85</v>
      </c>
      <c r="C39" s="33"/>
      <c r="D39" s="50">
        <v>1140238.12</v>
      </c>
      <c r="E39" s="50"/>
      <c r="F39" s="50">
        <v>18992</v>
      </c>
      <c r="G39" s="50">
        <v>7200.522</v>
      </c>
      <c r="H39" s="50">
        <v>116347.92</v>
      </c>
      <c r="I39" s="50"/>
      <c r="J39" s="62"/>
      <c r="K39" s="8">
        <f t="shared" si="34"/>
        <v>997697.678</v>
      </c>
      <c r="L39" s="8">
        <v>1000000</v>
      </c>
      <c r="M39" s="63">
        <f t="shared" si="35"/>
        <v>0</v>
      </c>
      <c r="N39" s="8"/>
      <c r="O39" s="8"/>
      <c r="P39" s="8">
        <f aca="true" t="shared" si="43" ref="P39:P53">+M39/M$54*P$54</f>
        <v>0</v>
      </c>
      <c r="Q39" s="142">
        <f aca="true" t="shared" si="44" ref="Q39:Q53">+(M39+N39)/(M$54+N$54)*Q$54</f>
        <v>0</v>
      </c>
      <c r="R39" s="63">
        <f>'All A - ESITO 2010 comp reg'!P39/'All A - ESITO 2010 comp reg'!P$54*'ALL B - ESITO 2010 comp ASL'!R$54</f>
        <v>95.2763426639641</v>
      </c>
      <c r="S39" s="8">
        <f t="shared" si="36"/>
        <v>0</v>
      </c>
      <c r="T39" s="8">
        <f t="shared" si="37"/>
        <v>0</v>
      </c>
      <c r="U39" s="88">
        <f t="shared" si="38"/>
        <v>0</v>
      </c>
      <c r="V39" s="114" t="str">
        <f t="shared" si="39"/>
        <v>      n.s.</v>
      </c>
      <c r="W39" s="8">
        <f t="shared" si="40"/>
        <v>0</v>
      </c>
      <c r="X39" s="8">
        <f t="shared" si="41"/>
        <v>0</v>
      </c>
      <c r="Y39" s="8"/>
      <c r="Z39" s="8">
        <f t="shared" si="42"/>
        <v>0</v>
      </c>
      <c r="AH39" s="54"/>
      <c r="AI39" s="54"/>
      <c r="AJ39" s="54"/>
      <c r="AK39" s="54"/>
      <c r="AL39" s="54"/>
      <c r="AM39" s="54"/>
    </row>
    <row r="40" spans="1:39" s="3" customFormat="1" ht="12.75" customHeight="1">
      <c r="A40" s="61">
        <v>150078</v>
      </c>
      <c r="B40" s="32" t="s">
        <v>34</v>
      </c>
      <c r="C40" s="33"/>
      <c r="D40" s="50">
        <v>11849247.43</v>
      </c>
      <c r="E40" s="50"/>
      <c r="F40" s="50"/>
      <c r="G40" s="50">
        <v>0</v>
      </c>
      <c r="H40" s="50">
        <v>0</v>
      </c>
      <c r="I40" s="50"/>
      <c r="J40" s="62" t="s">
        <v>118</v>
      </c>
      <c r="K40" s="8">
        <f t="shared" si="34"/>
        <v>11849247.43</v>
      </c>
      <c r="L40" s="8">
        <v>12400000</v>
      </c>
      <c r="M40" s="63">
        <f t="shared" si="35"/>
        <v>0</v>
      </c>
      <c r="N40" s="8"/>
      <c r="O40" s="8"/>
      <c r="P40" s="8">
        <f t="shared" si="43"/>
        <v>0</v>
      </c>
      <c r="Q40" s="142">
        <f t="shared" si="44"/>
        <v>0</v>
      </c>
      <c r="R40" s="63">
        <f>'All A - ESITO 2010 comp reg'!P40/'All A - ESITO 2010 comp reg'!P$54*'ALL B - ESITO 2010 comp ASL'!R$54</f>
        <v>22791.638433884535</v>
      </c>
      <c r="S40" s="8">
        <f t="shared" si="36"/>
        <v>0</v>
      </c>
      <c r="T40" s="8">
        <f t="shared" si="37"/>
        <v>0</v>
      </c>
      <c r="U40" s="88">
        <f t="shared" si="38"/>
        <v>0</v>
      </c>
      <c r="V40" s="114" t="str">
        <f t="shared" si="39"/>
        <v>      n.s.</v>
      </c>
      <c r="W40" s="8">
        <f t="shared" si="40"/>
        <v>0</v>
      </c>
      <c r="X40" s="8">
        <f t="shared" si="41"/>
        <v>0</v>
      </c>
      <c r="Y40" s="8"/>
      <c r="Z40" s="8">
        <f t="shared" si="42"/>
        <v>0</v>
      </c>
      <c r="AH40" s="54"/>
      <c r="AI40" s="54"/>
      <c r="AJ40" s="54"/>
      <c r="AK40" s="54"/>
      <c r="AL40" s="54"/>
      <c r="AM40" s="54"/>
    </row>
    <row r="41" spans="1:40" s="3" customFormat="1" ht="12.75" customHeight="1">
      <c r="A41" s="61">
        <v>150079</v>
      </c>
      <c r="B41" s="35" t="s">
        <v>32</v>
      </c>
      <c r="C41" s="36"/>
      <c r="D41" s="50">
        <v>1962822.03</v>
      </c>
      <c r="E41" s="50"/>
      <c r="F41" s="50">
        <v>0</v>
      </c>
      <c r="G41" s="50">
        <v>0</v>
      </c>
      <c r="H41" s="50">
        <v>510.19</v>
      </c>
      <c r="I41" s="50"/>
      <c r="J41" s="62" t="s">
        <v>119</v>
      </c>
      <c r="K41" s="8">
        <f t="shared" si="34"/>
        <v>1962311.84</v>
      </c>
      <c r="L41" s="8">
        <v>1950000</v>
      </c>
      <c r="M41" s="63">
        <f t="shared" si="35"/>
        <v>12311.840000000084</v>
      </c>
      <c r="N41" s="8">
        <v>908645.01</v>
      </c>
      <c r="O41" s="8"/>
      <c r="P41" s="8">
        <f t="shared" si="43"/>
        <v>12311.840000000084</v>
      </c>
      <c r="Q41" s="142">
        <f t="shared" si="44"/>
        <v>723291.7570278657</v>
      </c>
      <c r="R41" s="63">
        <f>'All A - ESITO 2010 comp reg'!P41/'All A - ESITO 2010 comp reg'!P$54*'ALL B - ESITO 2010 comp ASL'!R$54</f>
        <v>0</v>
      </c>
      <c r="S41" s="8">
        <f t="shared" si="36"/>
        <v>0</v>
      </c>
      <c r="T41" s="8">
        <f t="shared" si="37"/>
        <v>32633.950059699113</v>
      </c>
      <c r="U41" s="88">
        <f t="shared" si="38"/>
        <v>12311.840000000084</v>
      </c>
      <c r="V41" s="114">
        <f t="shared" si="39"/>
        <v>1</v>
      </c>
      <c r="W41" s="8">
        <f t="shared" si="40"/>
        <v>0</v>
      </c>
      <c r="X41" s="89">
        <f t="shared" si="41"/>
        <v>0</v>
      </c>
      <c r="Y41" s="88">
        <f>84636.28+72640.29+73161.39+64990.78+88400.37+77330.07+71072.78+73048.53+79363.39+67686.53+66797.2+76599.86+79604.78+893495.11+908645.01</f>
        <v>2777472.37</v>
      </c>
      <c r="Z41" s="8">
        <f t="shared" si="42"/>
        <v>908645.01</v>
      </c>
      <c r="AA41" s="90"/>
      <c r="AB41" s="90"/>
      <c r="AH41" s="54"/>
      <c r="AI41" s="54"/>
      <c r="AJ41" s="54"/>
      <c r="AK41" s="54"/>
      <c r="AL41" s="54"/>
      <c r="AM41" s="54"/>
      <c r="AN41" s="49" t="s">
        <v>133</v>
      </c>
    </row>
    <row r="42" spans="1:39" s="3" customFormat="1" ht="12.75" customHeight="1">
      <c r="A42" s="61">
        <v>150081</v>
      </c>
      <c r="B42" s="32" t="s">
        <v>35</v>
      </c>
      <c r="C42" s="33"/>
      <c r="D42" s="50">
        <v>20182151.409999996</v>
      </c>
      <c r="E42" s="50"/>
      <c r="F42" s="50">
        <v>0</v>
      </c>
      <c r="G42" s="50">
        <v>0</v>
      </c>
      <c r="H42" s="50">
        <v>291411.2</v>
      </c>
      <c r="I42" s="50"/>
      <c r="J42" s="62"/>
      <c r="K42" s="8">
        <f t="shared" si="34"/>
        <v>19890740.209999997</v>
      </c>
      <c r="L42" s="8">
        <v>19600000</v>
      </c>
      <c r="M42" s="63">
        <f t="shared" si="35"/>
        <v>290740.20999999717</v>
      </c>
      <c r="N42" s="8"/>
      <c r="O42" s="8"/>
      <c r="P42" s="8">
        <f t="shared" si="43"/>
        <v>290740.20999999717</v>
      </c>
      <c r="Q42" s="142">
        <f t="shared" si="44"/>
        <v>228338.59950067</v>
      </c>
      <c r="R42" s="63">
        <f>'All A - ESITO 2010 comp reg'!P42/'All A - ESITO 2010 comp reg'!P$54*'ALL B - ESITO 2010 comp ASL'!R$54</f>
        <v>0</v>
      </c>
      <c r="S42" s="8">
        <f t="shared" si="36"/>
        <v>0</v>
      </c>
      <c r="T42" s="8">
        <f t="shared" si="37"/>
        <v>0</v>
      </c>
      <c r="U42" s="88">
        <f t="shared" si="38"/>
        <v>228338.59950067</v>
      </c>
      <c r="V42" s="114">
        <f t="shared" si="39"/>
        <v>0.7853698650787665</v>
      </c>
      <c r="W42" s="8">
        <f t="shared" si="40"/>
        <v>62401.61049932716</v>
      </c>
      <c r="X42" s="8">
        <f t="shared" si="41"/>
        <v>62401.61049932716</v>
      </c>
      <c r="Y42" s="8"/>
      <c r="Z42" s="8">
        <f t="shared" si="42"/>
        <v>0</v>
      </c>
      <c r="AH42" s="54"/>
      <c r="AI42" s="54"/>
      <c r="AJ42" s="54"/>
      <c r="AK42" s="54"/>
      <c r="AL42" s="54"/>
      <c r="AM42" s="54"/>
    </row>
    <row r="43" spans="1:39" s="3" customFormat="1" ht="12.75" customHeight="1">
      <c r="A43" s="61">
        <v>150086</v>
      </c>
      <c r="B43" s="26" t="s">
        <v>87</v>
      </c>
      <c r="C43" s="24"/>
      <c r="D43" s="50">
        <f>5121522.69+1128068.04</f>
        <v>6249590.73</v>
      </c>
      <c r="E43" s="50"/>
      <c r="F43" s="50">
        <v>148398.28</v>
      </c>
      <c r="G43" s="50">
        <v>0</v>
      </c>
      <c r="H43" s="50">
        <v>131825.35</v>
      </c>
      <c r="I43" s="50"/>
      <c r="J43" s="62"/>
      <c r="K43" s="8">
        <f t="shared" si="34"/>
        <v>5969367.100000001</v>
      </c>
      <c r="L43" s="8">
        <v>8000000</v>
      </c>
      <c r="M43" s="63">
        <f t="shared" si="35"/>
        <v>0</v>
      </c>
      <c r="N43" s="8"/>
      <c r="O43" s="8"/>
      <c r="P43" s="8">
        <f t="shared" si="43"/>
        <v>0</v>
      </c>
      <c r="Q43" s="142">
        <f t="shared" si="44"/>
        <v>0</v>
      </c>
      <c r="R43" s="63">
        <f>'All A - ESITO 2010 comp reg'!P43/'All A - ESITO 2010 comp reg'!P$54*'ALL B - ESITO 2010 comp ASL'!R$54</f>
        <v>84033.10918503816</v>
      </c>
      <c r="S43" s="8">
        <f t="shared" si="36"/>
        <v>0</v>
      </c>
      <c r="T43" s="8">
        <f t="shared" si="37"/>
        <v>0</v>
      </c>
      <c r="U43" s="88">
        <f t="shared" si="38"/>
        <v>0</v>
      </c>
      <c r="V43" s="114" t="str">
        <f t="shared" si="39"/>
        <v>      n.s.</v>
      </c>
      <c r="W43" s="8">
        <f t="shared" si="40"/>
        <v>0</v>
      </c>
      <c r="X43" s="8">
        <f t="shared" si="41"/>
        <v>0</v>
      </c>
      <c r="Y43" s="8"/>
      <c r="Z43" s="8">
        <f t="shared" si="42"/>
        <v>0</v>
      </c>
      <c r="AH43" s="54"/>
      <c r="AI43" s="54"/>
      <c r="AJ43" s="54"/>
      <c r="AK43" s="54"/>
      <c r="AL43" s="54"/>
      <c r="AM43" s="54"/>
    </row>
    <row r="44" spans="1:237" s="4" customFormat="1" ht="12.75" customHeight="1">
      <c r="A44" s="61">
        <v>150088</v>
      </c>
      <c r="B44" s="32" t="s">
        <v>104</v>
      </c>
      <c r="C44" s="24" t="s">
        <v>105</v>
      </c>
      <c r="D44" s="50">
        <v>5631115.32</v>
      </c>
      <c r="E44" s="50">
        <v>910915</v>
      </c>
      <c r="F44" s="50"/>
      <c r="G44" s="50">
        <v>0</v>
      </c>
      <c r="H44" s="50">
        <v>230511.44</v>
      </c>
      <c r="I44" s="91">
        <f>910915-873658.58</f>
        <v>37256.42000000004</v>
      </c>
      <c r="J44" s="62" t="s">
        <v>115</v>
      </c>
      <c r="K44" s="8">
        <f t="shared" si="34"/>
        <v>6274262.46</v>
      </c>
      <c r="L44" s="8">
        <v>5300000</v>
      </c>
      <c r="M44" s="63">
        <f t="shared" si="35"/>
        <v>974262.46</v>
      </c>
      <c r="N44" s="8"/>
      <c r="O44" s="8"/>
      <c r="P44" s="8">
        <f t="shared" si="43"/>
        <v>974262.46</v>
      </c>
      <c r="Q44" s="142">
        <f t="shared" si="44"/>
        <v>765156.376761507</v>
      </c>
      <c r="R44" s="63">
        <f>'All A - ESITO 2010 comp reg'!P44/'All A - ESITO 2010 comp reg'!P$54*'ALL B - ESITO 2010 comp ASL'!R$54</f>
        <v>0</v>
      </c>
      <c r="S44" s="8">
        <f t="shared" si="36"/>
        <v>0</v>
      </c>
      <c r="T44" s="8">
        <f t="shared" si="37"/>
        <v>0</v>
      </c>
      <c r="U44" s="88">
        <f t="shared" si="38"/>
        <v>765156.376761507</v>
      </c>
      <c r="V44" s="114">
        <f t="shared" si="39"/>
        <v>0.7853698650787664</v>
      </c>
      <c r="W44" s="8">
        <f t="shared" si="40"/>
        <v>209106.08323849295</v>
      </c>
      <c r="X44" s="8">
        <f t="shared" si="41"/>
        <v>209106.08323849295</v>
      </c>
      <c r="Y44" s="8"/>
      <c r="Z44" s="8">
        <f t="shared" si="42"/>
        <v>0</v>
      </c>
      <c r="AA44" s="84">
        <f>ROUND((H44+G44+F44)/(D44)*E44,2)</f>
        <v>37288.59</v>
      </c>
      <c r="AB44" s="54">
        <f>+AA44-I44</f>
        <v>32.1699999999546</v>
      </c>
      <c r="AH44" s="54"/>
      <c r="AI44" s="54"/>
      <c r="AJ44" s="54"/>
      <c r="AK44" s="54"/>
      <c r="AL44" s="54"/>
      <c r="AM44" s="54"/>
      <c r="HV44" s="3"/>
      <c r="HW44" s="3"/>
      <c r="HX44" s="3"/>
      <c r="HY44" s="3"/>
      <c r="HZ44" s="3"/>
      <c r="IA44" s="3"/>
      <c r="IB44" s="3"/>
      <c r="IC44" s="3"/>
    </row>
    <row r="45" spans="1:39" s="3" customFormat="1" ht="12.75" customHeight="1">
      <c r="A45" s="61">
        <v>150092</v>
      </c>
      <c r="B45" s="26" t="s">
        <v>37</v>
      </c>
      <c r="C45" s="39"/>
      <c r="D45" s="50">
        <v>7751621.850000001</v>
      </c>
      <c r="E45" s="50"/>
      <c r="F45" s="50">
        <v>7.48</v>
      </c>
      <c r="G45" s="50">
        <v>78671.63</v>
      </c>
      <c r="H45" s="50">
        <v>58892.78</v>
      </c>
      <c r="I45" s="50"/>
      <c r="J45" s="62"/>
      <c r="K45" s="8">
        <f t="shared" si="34"/>
        <v>7614049.96</v>
      </c>
      <c r="L45" s="8">
        <v>7000000</v>
      </c>
      <c r="M45" s="63">
        <f t="shared" si="35"/>
        <v>614049.96</v>
      </c>
      <c r="N45" s="8"/>
      <c r="O45" s="8"/>
      <c r="P45" s="8">
        <f t="shared" si="43"/>
        <v>614049.96</v>
      </c>
      <c r="Q45" s="142">
        <f t="shared" si="44"/>
        <v>482256.33423682186</v>
      </c>
      <c r="R45" s="63">
        <f>'All A - ESITO 2010 comp reg'!P45/'All A - ESITO 2010 comp reg'!P$54*'ALL B - ESITO 2010 comp ASL'!R$54</f>
        <v>0</v>
      </c>
      <c r="S45" s="8">
        <f t="shared" si="36"/>
        <v>0</v>
      </c>
      <c r="T45" s="8">
        <f t="shared" si="37"/>
        <v>0</v>
      </c>
      <c r="U45" s="88">
        <f t="shared" si="38"/>
        <v>482256.33423682186</v>
      </c>
      <c r="V45" s="114">
        <f t="shared" si="39"/>
        <v>0.7853698650787664</v>
      </c>
      <c r="W45" s="8">
        <f t="shared" si="40"/>
        <v>131793.6257631781</v>
      </c>
      <c r="X45" s="8">
        <f t="shared" si="41"/>
        <v>131793.6257631781</v>
      </c>
      <c r="Y45" s="8"/>
      <c r="Z45" s="8">
        <f t="shared" si="42"/>
        <v>0</v>
      </c>
      <c r="AH45" s="54"/>
      <c r="AI45" s="54"/>
      <c r="AJ45" s="54"/>
      <c r="AK45" s="54"/>
      <c r="AL45" s="54"/>
      <c r="AM45" s="54"/>
    </row>
    <row r="46" spans="1:237" s="4" customFormat="1" ht="12.75" customHeight="1">
      <c r="A46" s="61">
        <v>150094</v>
      </c>
      <c r="B46" s="32" t="s">
        <v>44</v>
      </c>
      <c r="C46" s="24"/>
      <c r="D46" s="50">
        <v>1518212.03</v>
      </c>
      <c r="E46" s="50"/>
      <c r="F46" s="50">
        <v>19.91</v>
      </c>
      <c r="G46" s="50">
        <v>39236.98</v>
      </c>
      <c r="H46" s="50">
        <v>10799.29</v>
      </c>
      <c r="I46" s="50"/>
      <c r="J46" s="62"/>
      <c r="K46" s="8">
        <f t="shared" si="34"/>
        <v>1468155.85</v>
      </c>
      <c r="L46" s="8">
        <v>1700000</v>
      </c>
      <c r="M46" s="63">
        <f t="shared" si="35"/>
        <v>0</v>
      </c>
      <c r="N46" s="8"/>
      <c r="O46" s="8"/>
      <c r="P46" s="8">
        <f t="shared" si="43"/>
        <v>0</v>
      </c>
      <c r="Q46" s="142">
        <f t="shared" si="44"/>
        <v>0</v>
      </c>
      <c r="R46" s="63">
        <f>'All A - ESITO 2010 comp reg'!P46/'All A - ESITO 2010 comp reg'!P$54*'ALL B - ESITO 2010 comp ASL'!R$54</f>
        <v>9594.341139091346</v>
      </c>
      <c r="S46" s="8">
        <f t="shared" si="36"/>
        <v>0</v>
      </c>
      <c r="T46" s="8">
        <f t="shared" si="37"/>
        <v>0</v>
      </c>
      <c r="U46" s="88">
        <f t="shared" si="38"/>
        <v>0</v>
      </c>
      <c r="V46" s="114" t="str">
        <f t="shared" si="39"/>
        <v>      n.s.</v>
      </c>
      <c r="W46" s="8">
        <f t="shared" si="40"/>
        <v>0</v>
      </c>
      <c r="X46" s="8">
        <f t="shared" si="41"/>
        <v>0</v>
      </c>
      <c r="Y46" s="8"/>
      <c r="Z46" s="8">
        <f t="shared" si="42"/>
        <v>0</v>
      </c>
      <c r="AH46" s="54"/>
      <c r="AI46" s="54"/>
      <c r="AJ46" s="54"/>
      <c r="AK46" s="54"/>
      <c r="AL46" s="54"/>
      <c r="AM46" s="54"/>
      <c r="HV46" s="3"/>
      <c r="HW46" s="3"/>
      <c r="HX46" s="3"/>
      <c r="HY46" s="3"/>
      <c r="HZ46" s="3"/>
      <c r="IA46" s="3"/>
      <c r="IB46" s="3"/>
      <c r="IC46" s="3"/>
    </row>
    <row r="47" spans="1:39" s="3" customFormat="1" ht="12.75" customHeight="1">
      <c r="A47" s="61">
        <v>150095</v>
      </c>
      <c r="B47" s="32" t="s">
        <v>38</v>
      </c>
      <c r="C47" s="33"/>
      <c r="D47" s="50">
        <v>35859462.02</v>
      </c>
      <c r="E47" s="50"/>
      <c r="F47" s="50">
        <v>0</v>
      </c>
      <c r="G47" s="50">
        <v>50274.18</v>
      </c>
      <c r="H47" s="50">
        <v>18289.68</v>
      </c>
      <c r="I47" s="50"/>
      <c r="J47" s="92"/>
      <c r="K47" s="8">
        <f t="shared" si="34"/>
        <v>35790898.160000004</v>
      </c>
      <c r="L47" s="8">
        <v>35600000</v>
      </c>
      <c r="M47" s="63">
        <f t="shared" si="35"/>
        <v>190898.16000000387</v>
      </c>
      <c r="N47" s="8"/>
      <c r="O47" s="8"/>
      <c r="P47" s="8">
        <f t="shared" si="43"/>
        <v>190898.16000000387</v>
      </c>
      <c r="Q47" s="142">
        <f t="shared" si="44"/>
        <v>149925.6621629878</v>
      </c>
      <c r="R47" s="63">
        <f>'All A - ESITO 2010 comp reg'!P47/'All A - ESITO 2010 comp reg'!P$54*'ALL B - ESITO 2010 comp ASL'!R$54</f>
        <v>0</v>
      </c>
      <c r="S47" s="8">
        <f t="shared" si="36"/>
        <v>0</v>
      </c>
      <c r="T47" s="8">
        <f t="shared" si="37"/>
        <v>0</v>
      </c>
      <c r="U47" s="88">
        <f t="shared" si="38"/>
        <v>149925.6621629878</v>
      </c>
      <c r="V47" s="114">
        <f t="shared" si="39"/>
        <v>0.7853698650787664</v>
      </c>
      <c r="W47" s="8">
        <f t="shared" si="40"/>
        <v>40972.49783701607</v>
      </c>
      <c r="X47" s="8">
        <f t="shared" si="41"/>
        <v>40972.49783701607</v>
      </c>
      <c r="Y47" s="8"/>
      <c r="Z47" s="8">
        <f t="shared" si="42"/>
        <v>0</v>
      </c>
      <c r="AH47" s="54"/>
      <c r="AI47" s="54"/>
      <c r="AJ47" s="54"/>
      <c r="AK47" s="54"/>
      <c r="AL47" s="54"/>
      <c r="AM47" s="54"/>
    </row>
    <row r="48" spans="1:237" s="4" customFormat="1" ht="12.75" customHeight="1">
      <c r="A48" s="61">
        <v>150099</v>
      </c>
      <c r="B48" s="26" t="s">
        <v>41</v>
      </c>
      <c r="C48" s="39"/>
      <c r="D48" s="50">
        <v>7599747.86</v>
      </c>
      <c r="E48" s="50"/>
      <c r="F48" s="50">
        <v>0.7000000001862645</v>
      </c>
      <c r="G48" s="50">
        <v>88181.5</v>
      </c>
      <c r="H48" s="50">
        <v>320584.47</v>
      </c>
      <c r="I48" s="50"/>
      <c r="J48" s="62"/>
      <c r="K48" s="8">
        <f t="shared" si="34"/>
        <v>7190981.19</v>
      </c>
      <c r="L48" s="8">
        <v>6700000</v>
      </c>
      <c r="M48" s="63">
        <f t="shared" si="35"/>
        <v>490981.1900000004</v>
      </c>
      <c r="N48" s="8"/>
      <c r="O48" s="8"/>
      <c r="P48" s="8">
        <f t="shared" si="43"/>
        <v>490981.19000000035</v>
      </c>
      <c r="Q48" s="142">
        <f t="shared" si="44"/>
        <v>385601.8309465125</v>
      </c>
      <c r="R48" s="63">
        <f>'All A - ESITO 2010 comp reg'!P48/'All A - ESITO 2010 comp reg'!P$54*'ALL B - ESITO 2010 comp ASL'!R$54</f>
        <v>0</v>
      </c>
      <c r="S48" s="8">
        <f t="shared" si="36"/>
        <v>0</v>
      </c>
      <c r="T48" s="8">
        <f t="shared" si="37"/>
        <v>2.0905258692192624E-12</v>
      </c>
      <c r="U48" s="88">
        <f t="shared" si="38"/>
        <v>385601.8309465125</v>
      </c>
      <c r="V48" s="114">
        <f t="shared" si="39"/>
        <v>0.7853698650787665</v>
      </c>
      <c r="W48" s="8">
        <f t="shared" si="40"/>
        <v>105379.35905348789</v>
      </c>
      <c r="X48" s="8">
        <f t="shared" si="41"/>
        <v>105379.35905348789</v>
      </c>
      <c r="Y48" s="8"/>
      <c r="Z48" s="8">
        <f t="shared" si="42"/>
        <v>5.820766091346741E-11</v>
      </c>
      <c r="AH48" s="54"/>
      <c r="AI48" s="54"/>
      <c r="AJ48" s="54"/>
      <c r="AK48" s="54"/>
      <c r="AL48" s="54"/>
      <c r="AM48" s="54"/>
      <c r="HV48" s="3"/>
      <c r="HW48" s="3"/>
      <c r="HX48" s="3"/>
      <c r="HY48" s="3"/>
      <c r="HZ48" s="3"/>
      <c r="IA48" s="3"/>
      <c r="IB48" s="3"/>
      <c r="IC48" s="3"/>
    </row>
    <row r="49" spans="1:39" s="3" customFormat="1" ht="12.75" customHeight="1">
      <c r="A49" s="61">
        <v>150104</v>
      </c>
      <c r="B49" s="35" t="s">
        <v>36</v>
      </c>
      <c r="C49" s="36"/>
      <c r="D49" s="50">
        <v>6411864.750000001</v>
      </c>
      <c r="E49" s="50"/>
      <c r="F49" s="50">
        <v>242351.04</v>
      </c>
      <c r="G49" s="50">
        <v>78295.07</v>
      </c>
      <c r="H49" s="50">
        <v>306958.21</v>
      </c>
      <c r="I49" s="50"/>
      <c r="J49" s="62"/>
      <c r="K49" s="8">
        <f t="shared" si="34"/>
        <v>5784260.430000001</v>
      </c>
      <c r="L49" s="8">
        <v>6000000</v>
      </c>
      <c r="M49" s="63">
        <f t="shared" si="35"/>
        <v>0</v>
      </c>
      <c r="N49" s="8"/>
      <c r="O49" s="8"/>
      <c r="P49" s="8">
        <f t="shared" si="43"/>
        <v>0</v>
      </c>
      <c r="Q49" s="142">
        <f t="shared" si="44"/>
        <v>0</v>
      </c>
      <c r="R49" s="63">
        <f>'All A - ESITO 2010 comp reg'!P49/'All A - ESITO 2010 comp reg'!P$54*'ALL B - ESITO 2010 comp ASL'!R$54</f>
        <v>8927.889842296525</v>
      </c>
      <c r="S49" s="8">
        <f t="shared" si="36"/>
        <v>0</v>
      </c>
      <c r="T49" s="8">
        <f t="shared" si="37"/>
        <v>0</v>
      </c>
      <c r="U49" s="88">
        <f t="shared" si="38"/>
        <v>0</v>
      </c>
      <c r="V49" s="114" t="str">
        <f t="shared" si="39"/>
        <v>      n.s.</v>
      </c>
      <c r="W49" s="8">
        <f t="shared" si="40"/>
        <v>0</v>
      </c>
      <c r="X49" s="8">
        <f t="shared" si="41"/>
        <v>0</v>
      </c>
      <c r="Y49" s="8"/>
      <c r="Z49" s="8">
        <f t="shared" si="42"/>
        <v>0</v>
      </c>
      <c r="AH49" s="54"/>
      <c r="AI49" s="54"/>
      <c r="AJ49" s="54"/>
      <c r="AK49" s="54"/>
      <c r="AL49" s="54"/>
      <c r="AM49" s="54"/>
    </row>
    <row r="50" spans="1:40" s="3" customFormat="1" ht="12.75" customHeight="1">
      <c r="A50" s="61">
        <v>150106</v>
      </c>
      <c r="B50" s="32" t="s">
        <v>43</v>
      </c>
      <c r="C50" s="24" t="s">
        <v>106</v>
      </c>
      <c r="D50" s="50">
        <v>5542518.21</v>
      </c>
      <c r="E50" s="50">
        <v>1585485.79</v>
      </c>
      <c r="F50" s="50">
        <v>0</v>
      </c>
      <c r="G50" s="50">
        <v>4684.78</v>
      </c>
      <c r="H50" s="50">
        <v>541706.85</v>
      </c>
      <c r="I50" s="50">
        <v>160768.26</v>
      </c>
      <c r="J50" s="62" t="s">
        <v>131</v>
      </c>
      <c r="K50" s="8">
        <f t="shared" si="34"/>
        <v>6420844.11</v>
      </c>
      <c r="L50" s="8">
        <v>6700000</v>
      </c>
      <c r="M50" s="63">
        <f t="shared" si="35"/>
        <v>0</v>
      </c>
      <c r="N50" s="8">
        <f>579283.72-L50+K50</f>
        <v>300127.8300000001</v>
      </c>
      <c r="O50" s="8">
        <v>279155.89</v>
      </c>
      <c r="P50" s="8">
        <f t="shared" si="43"/>
        <v>0</v>
      </c>
      <c r="Q50" s="142">
        <f t="shared" si="44"/>
        <v>235711.353353483</v>
      </c>
      <c r="R50" s="63">
        <f>'All A - ESITO 2010 comp reg'!P50/'All A - ESITO 2010 comp reg'!P$54*'ALL B - ESITO 2010 comp ASL'!R$54</f>
        <v>-1.445274739204832E-11</v>
      </c>
      <c r="S50" s="8">
        <f t="shared" si="36"/>
        <v>0</v>
      </c>
      <c r="T50" s="8">
        <f t="shared" si="37"/>
        <v>10779.07929714583</v>
      </c>
      <c r="U50" s="88">
        <f t="shared" si="38"/>
        <v>0</v>
      </c>
      <c r="V50" s="114" t="str">
        <f t="shared" si="39"/>
        <v>      n.s.</v>
      </c>
      <c r="W50" s="8">
        <f t="shared" si="40"/>
        <v>0</v>
      </c>
      <c r="X50" s="8">
        <f t="shared" si="41"/>
        <v>0</v>
      </c>
      <c r="Y50" s="8"/>
      <c r="Z50" s="8">
        <f t="shared" si="42"/>
        <v>300127.8300000001</v>
      </c>
      <c r="AA50" s="84">
        <f>ROUND((H50+G50+F50)/(D50)*E50,2)</f>
        <v>156300.1</v>
      </c>
      <c r="AB50" s="54">
        <f>+AA50-I50</f>
        <v>-4468.1600000000035</v>
      </c>
      <c r="AD50" s="3">
        <v>300127.83</v>
      </c>
      <c r="AE50" s="54">
        <f>+G50+H50+I50</f>
        <v>707159.89</v>
      </c>
      <c r="AF50" s="93">
        <f>116452.19+11423.98</f>
        <v>127876.17</v>
      </c>
      <c r="AG50" s="54">
        <f>+AE50-AF50</f>
        <v>579283.72</v>
      </c>
      <c r="AH50" s="54">
        <f>+AD50+R50</f>
        <v>300127.83</v>
      </c>
      <c r="AI50" s="54"/>
      <c r="AJ50" s="54"/>
      <c r="AK50" s="54"/>
      <c r="AL50" s="54"/>
      <c r="AM50" s="54"/>
      <c r="AN50" s="49" t="s">
        <v>133</v>
      </c>
    </row>
    <row r="51" spans="1:39" s="3" customFormat="1" ht="12.75" customHeight="1">
      <c r="A51" s="61">
        <v>150109</v>
      </c>
      <c r="B51" s="32" t="s">
        <v>40</v>
      </c>
      <c r="C51" s="33"/>
      <c r="D51" s="50">
        <f>12184164.94+93326.7</f>
        <v>12277491.639999999</v>
      </c>
      <c r="E51" s="50"/>
      <c r="F51" s="50">
        <v>0</v>
      </c>
      <c r="G51" s="50">
        <v>292477.09</v>
      </c>
      <c r="H51" s="50">
        <v>266000.39</v>
      </c>
      <c r="I51" s="91"/>
      <c r="J51" s="62" t="s">
        <v>117</v>
      </c>
      <c r="K51" s="8">
        <f t="shared" si="34"/>
        <v>11719014.159999998</v>
      </c>
      <c r="L51" s="8">
        <v>12000000</v>
      </c>
      <c r="M51" s="63">
        <f t="shared" si="35"/>
        <v>0</v>
      </c>
      <c r="N51" s="8"/>
      <c r="O51" s="8"/>
      <c r="P51" s="8">
        <f t="shared" si="43"/>
        <v>0</v>
      </c>
      <c r="Q51" s="142">
        <f t="shared" si="44"/>
        <v>0</v>
      </c>
      <c r="R51" s="63">
        <f>'All A - ESITO 2010 comp reg'!P51/'All A - ESITO 2010 comp reg'!P$54*'ALL B - ESITO 2010 comp ASL'!R$54</f>
        <v>11627.957851057085</v>
      </c>
      <c r="S51" s="8">
        <f t="shared" si="36"/>
        <v>0</v>
      </c>
      <c r="T51" s="8">
        <f t="shared" si="37"/>
        <v>0</v>
      </c>
      <c r="U51" s="88">
        <f t="shared" si="38"/>
        <v>0</v>
      </c>
      <c r="V51" s="114" t="str">
        <f t="shared" si="39"/>
        <v>      n.s.</v>
      </c>
      <c r="W51" s="8">
        <f t="shared" si="40"/>
        <v>0</v>
      </c>
      <c r="X51" s="8">
        <f t="shared" si="41"/>
        <v>0</v>
      </c>
      <c r="Y51" s="8"/>
      <c r="Z51" s="8">
        <f t="shared" si="42"/>
        <v>0</v>
      </c>
      <c r="AH51" s="54"/>
      <c r="AI51" s="54"/>
      <c r="AJ51" s="54"/>
      <c r="AK51" s="54"/>
      <c r="AL51" s="54"/>
      <c r="AM51" s="54"/>
    </row>
    <row r="52" spans="1:39" s="3" customFormat="1" ht="12.75" customHeight="1">
      <c r="A52" s="61">
        <v>150111</v>
      </c>
      <c r="B52" s="26" t="s">
        <v>33</v>
      </c>
      <c r="C52" s="39"/>
      <c r="D52" s="50">
        <v>6705586.4</v>
      </c>
      <c r="E52" s="50"/>
      <c r="F52" s="50">
        <v>23873.15</v>
      </c>
      <c r="G52" s="50">
        <v>73907.54</v>
      </c>
      <c r="H52" s="50">
        <v>305289.03</v>
      </c>
      <c r="I52" s="50"/>
      <c r="J52" s="62"/>
      <c r="K52" s="8">
        <f t="shared" si="34"/>
        <v>6302516.68</v>
      </c>
      <c r="L52" s="9">
        <v>6800000</v>
      </c>
      <c r="M52" s="63">
        <f t="shared" si="35"/>
        <v>0</v>
      </c>
      <c r="N52" s="9"/>
      <c r="O52" s="9"/>
      <c r="P52" s="8">
        <f t="shared" si="43"/>
        <v>0</v>
      </c>
      <c r="Q52" s="142">
        <f t="shared" si="44"/>
        <v>0</v>
      </c>
      <c r="R52" s="63">
        <f>'All A - ESITO 2010 comp reg'!P52/'All A - ESITO 2010 comp reg'!P$54*'ALL B - ESITO 2010 comp ASL'!R$54</f>
        <v>20587.21206934809</v>
      </c>
      <c r="S52" s="8">
        <f t="shared" si="36"/>
        <v>0</v>
      </c>
      <c r="T52" s="8">
        <f t="shared" si="37"/>
        <v>0</v>
      </c>
      <c r="U52" s="88">
        <f t="shared" si="38"/>
        <v>0</v>
      </c>
      <c r="V52" s="114" t="str">
        <f t="shared" si="39"/>
        <v>      n.s.</v>
      </c>
      <c r="W52" s="8">
        <f t="shared" si="40"/>
        <v>0</v>
      </c>
      <c r="X52" s="8">
        <f t="shared" si="41"/>
        <v>0</v>
      </c>
      <c r="Y52" s="9"/>
      <c r="Z52" s="8">
        <f t="shared" si="42"/>
        <v>0</v>
      </c>
      <c r="AH52" s="54"/>
      <c r="AI52" s="54"/>
      <c r="AJ52" s="54"/>
      <c r="AK52" s="54"/>
      <c r="AL52" s="54"/>
      <c r="AM52" s="54"/>
    </row>
    <row r="53" spans="1:39" s="3" customFormat="1" ht="12.75" customHeight="1">
      <c r="A53" s="61">
        <v>150120</v>
      </c>
      <c r="B53" s="32" t="s">
        <v>42</v>
      </c>
      <c r="C53" s="33"/>
      <c r="D53" s="50">
        <v>3037061.32</v>
      </c>
      <c r="E53" s="50"/>
      <c r="F53" s="50">
        <v>21.72</v>
      </c>
      <c r="G53" s="50">
        <v>45951.55</v>
      </c>
      <c r="H53" s="50">
        <v>22768.5</v>
      </c>
      <c r="I53" s="50"/>
      <c r="J53" s="62"/>
      <c r="K53" s="8">
        <f t="shared" si="34"/>
        <v>2968319.55</v>
      </c>
      <c r="L53" s="9">
        <v>3000000</v>
      </c>
      <c r="M53" s="63">
        <f t="shared" si="35"/>
        <v>0</v>
      </c>
      <c r="N53" s="9"/>
      <c r="O53" s="9"/>
      <c r="P53" s="8">
        <f t="shared" si="43"/>
        <v>0</v>
      </c>
      <c r="Q53" s="142">
        <f t="shared" si="44"/>
        <v>0</v>
      </c>
      <c r="R53" s="63">
        <f>'All A - ESITO 2010 comp reg'!P53/'All A - ESITO 2010 comp reg'!P$54*'ALL B - ESITO 2010 comp ASL'!R$54</f>
        <v>1311.0231366197006</v>
      </c>
      <c r="S53" s="8">
        <f t="shared" si="36"/>
        <v>0</v>
      </c>
      <c r="T53" s="8">
        <f t="shared" si="37"/>
        <v>0</v>
      </c>
      <c r="U53" s="88">
        <f t="shared" si="38"/>
        <v>0</v>
      </c>
      <c r="V53" s="119" t="str">
        <f t="shared" si="39"/>
        <v>      n.s.</v>
      </c>
      <c r="W53" s="8">
        <f t="shared" si="40"/>
        <v>0</v>
      </c>
      <c r="X53" s="8">
        <f t="shared" si="41"/>
        <v>0</v>
      </c>
      <c r="Y53" s="9"/>
      <c r="Z53" s="8">
        <f t="shared" si="42"/>
        <v>0</v>
      </c>
      <c r="AH53" s="54"/>
      <c r="AI53" s="54"/>
      <c r="AJ53" s="54"/>
      <c r="AK53" s="54"/>
      <c r="AL53" s="54"/>
      <c r="AM53" s="54"/>
    </row>
    <row r="54" spans="1:26" s="3" customFormat="1" ht="15.75" customHeight="1">
      <c r="A54" s="56"/>
      <c r="B54" s="26" t="s">
        <v>14</v>
      </c>
      <c r="C54" s="27"/>
      <c r="D54" s="64">
        <f aca="true" t="shared" si="45" ref="D54:I54">SUM(D38:D53)</f>
        <v>138576714.36999997</v>
      </c>
      <c r="E54" s="64">
        <f t="shared" si="45"/>
        <v>3375454.94</v>
      </c>
      <c r="F54" s="64">
        <f t="shared" si="45"/>
        <v>433919.5200000002</v>
      </c>
      <c r="G54" s="64">
        <f t="shared" si="45"/>
        <v>759576.3980000002</v>
      </c>
      <c r="H54" s="64">
        <f t="shared" si="45"/>
        <v>2729186.6000000006</v>
      </c>
      <c r="I54" s="64">
        <f t="shared" si="45"/>
        <v>217611.13000000006</v>
      </c>
      <c r="J54" s="65"/>
      <c r="K54" s="64">
        <f aca="true" t="shared" si="46" ref="K54:Z54">SUM(K38:K53)</f>
        <v>137811875.662</v>
      </c>
      <c r="L54" s="64">
        <f t="shared" si="46"/>
        <v>138250000</v>
      </c>
      <c r="M54" s="64">
        <f t="shared" si="46"/>
        <v>3682452.6740000015</v>
      </c>
      <c r="N54" s="64">
        <f t="shared" si="46"/>
        <v>1208772.84</v>
      </c>
      <c r="O54" s="64">
        <f t="shared" si="46"/>
        <v>279155.89</v>
      </c>
      <c r="P54" s="64">
        <f>IF('All A - ESITO 2010 comp reg'!P54&gt;'All A - ESITO 2010 comp reg'!M54,'All A - ESITO 2010 comp reg'!M54,'All A - ESITO 2010 comp reg'!P54)</f>
        <v>3682452.6740000015</v>
      </c>
      <c r="Q54" s="64">
        <f>IF('All A - ESITO 2010 comp reg'!P54&gt;('All A - ESITO 2010 comp reg'!M54+'All A - ESITO 2010 comp reg'!N54),('All A - ESITO 2010 comp reg'!M54+'All A - ESITO 2010 comp reg'!N54),'All A - ESITO 2010 comp reg'!P54)</f>
        <v>3841421.122000001</v>
      </c>
      <c r="R54" s="64">
        <f>+'All A - ESITO 2010 comp reg'!P54-'ALL B - ESITO 2010 comp ASL'!P54</f>
        <v>158968.4479999994</v>
      </c>
      <c r="S54" s="64">
        <f t="shared" si="46"/>
        <v>0</v>
      </c>
      <c r="T54" s="64">
        <f t="shared" si="46"/>
        <v>43413.02935684495</v>
      </c>
      <c r="U54" s="95">
        <f t="shared" si="46"/>
        <v>2894729.8516186527</v>
      </c>
      <c r="V54" s="120">
        <f t="shared" si="39"/>
        <v>0.7860874552596223</v>
      </c>
      <c r="W54" s="64">
        <f t="shared" si="46"/>
        <v>787722.8223813493</v>
      </c>
      <c r="X54" s="64">
        <f t="shared" si="46"/>
        <v>787722.8223813493</v>
      </c>
      <c r="Y54" s="64">
        <f t="shared" si="46"/>
        <v>2777472.37</v>
      </c>
      <c r="Z54" s="64">
        <f t="shared" si="46"/>
        <v>1208772.84</v>
      </c>
    </row>
    <row r="55" spans="1:26" s="3" customFormat="1" ht="6" customHeight="1">
      <c r="A55" s="56"/>
      <c r="B55" s="26"/>
      <c r="C55" s="3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98"/>
      <c r="V55" s="115"/>
      <c r="W55" s="104"/>
      <c r="X55" s="104"/>
      <c r="Y55" s="104"/>
      <c r="Z55" s="104"/>
    </row>
    <row r="56" spans="1:26" s="3" customFormat="1" ht="15.75" customHeight="1">
      <c r="A56" s="40" t="s">
        <v>45</v>
      </c>
      <c r="B56" s="37"/>
      <c r="C56" s="38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7"/>
      <c r="V56" s="116"/>
      <c r="W56" s="90"/>
      <c r="X56" s="90"/>
      <c r="Y56" s="90"/>
      <c r="Z56" s="90"/>
    </row>
    <row r="57" spans="1:31" s="3" customFormat="1" ht="12.75" customHeight="1">
      <c r="A57" s="61">
        <v>150084</v>
      </c>
      <c r="B57" s="35" t="s">
        <v>84</v>
      </c>
      <c r="C57" s="36"/>
      <c r="D57" s="50">
        <v>31209630.23</v>
      </c>
      <c r="E57" s="50"/>
      <c r="F57" s="50">
        <v>788.94</v>
      </c>
      <c r="G57" s="50">
        <v>347515.18</v>
      </c>
      <c r="H57" s="50">
        <v>488834.51</v>
      </c>
      <c r="I57" s="50"/>
      <c r="J57" s="62"/>
      <c r="K57" s="8">
        <f>+D57+E57-F57-G57-H57-I57</f>
        <v>30372491.599999998</v>
      </c>
      <c r="L57" s="8">
        <v>29000000</v>
      </c>
      <c r="M57" s="63">
        <f>IF(K57&gt;L57,(K57-L57),0)</f>
        <v>1372491.5999999978</v>
      </c>
      <c r="N57" s="8"/>
      <c r="O57" s="8"/>
      <c r="P57" s="8">
        <f>+M57/M$61*P$61</f>
        <v>204360.85702056796</v>
      </c>
      <c r="Q57" s="142">
        <f>+(M57+N57)/(M$61+N$61)*Q$61</f>
        <v>190316.82933769905</v>
      </c>
      <c r="R57" s="63">
        <f>'All A - ESITO 2010 comp reg'!P57/'All A - ESITO 2010 comp reg'!P$61*'ALL B - ESITO 2010 comp ASL'!R$61</f>
        <v>0</v>
      </c>
      <c r="S57" s="8">
        <f>ROUND(R$100/(M$100-P$100)*(M57-P57),2)</f>
        <v>53625.35</v>
      </c>
      <c r="T57" s="8">
        <f>+Z57/$Z$100*$AA$100</f>
        <v>40027.41767740082</v>
      </c>
      <c r="U57" s="88">
        <f>IF((P57+S57)&lt;(Q57+T57),P57+S57,Q57+T57)</f>
        <v>230344.24701509986</v>
      </c>
      <c r="V57" s="114">
        <f>IF(M57=0,"      n.s.",+U57/M57)</f>
        <v>0.16782925812813734</v>
      </c>
      <c r="W57" s="8">
        <f>+M57-U57</f>
        <v>1142147.3529848978</v>
      </c>
      <c r="X57" s="8">
        <f>+W57</f>
        <v>1142147.3529848978</v>
      </c>
      <c r="Y57" s="8"/>
      <c r="Z57" s="8">
        <f>+M57+N57-P57-S57</f>
        <v>1114505.3929794298</v>
      </c>
      <c r="AD57" s="54">
        <f>+F58</f>
        <v>128985.76</v>
      </c>
      <c r="AE57" s="54">
        <f>+G58</f>
        <v>159719.79</v>
      </c>
    </row>
    <row r="58" spans="1:40" s="3" customFormat="1" ht="12.75" customHeight="1">
      <c r="A58" s="61">
        <v>150097</v>
      </c>
      <c r="B58" s="35" t="s">
        <v>47</v>
      </c>
      <c r="C58" s="24" t="s">
        <v>105</v>
      </c>
      <c r="D58" s="50">
        <v>4009885.12</v>
      </c>
      <c r="E58" s="50">
        <v>707744.72368</v>
      </c>
      <c r="F58" s="50">
        <v>128985.76</v>
      </c>
      <c r="G58" s="50">
        <v>159719.79</v>
      </c>
      <c r="H58" s="50">
        <v>47868.23</v>
      </c>
      <c r="I58" s="50">
        <v>59405.27</v>
      </c>
      <c r="J58" s="92" t="s">
        <v>122</v>
      </c>
      <c r="K58" s="8">
        <f>+D58+E58-F58-G58-H58-I58</f>
        <v>4321650.79368</v>
      </c>
      <c r="L58" s="8">
        <v>3900000</v>
      </c>
      <c r="M58" s="63">
        <f>IF(K58&gt;L58,(K58-L58),0)</f>
        <v>421650.7936800001</v>
      </c>
      <c r="N58" s="8">
        <v>135634.64</v>
      </c>
      <c r="O58" s="8"/>
      <c r="P58" s="8">
        <f>+M58/M$61*P$61</f>
        <v>62782.83784020801</v>
      </c>
      <c r="Q58" s="142">
        <f>+(M58+N58)/(M$61+N$61)*Q$61</f>
        <v>77276.0990115075</v>
      </c>
      <c r="R58" s="63">
        <f>'All A - ESITO 2010 comp reg'!P58/'All A - ESITO 2010 comp reg'!P$61*'ALL B - ESITO 2010 comp ASL'!R$61</f>
        <v>0</v>
      </c>
      <c r="S58" s="8">
        <f>ROUND(R$100/(M$100-P$100)*(M58-P58),2)</f>
        <v>16474.54</v>
      </c>
      <c r="T58" s="8">
        <f>+Z58/$Z$100*$AA$100</f>
        <v>17168.358962771206</v>
      </c>
      <c r="U58" s="88">
        <f>IF((P58+S58)&lt;(Q58+T58),P58+S58,Q58+T58)</f>
        <v>79257.377840208</v>
      </c>
      <c r="V58" s="114">
        <f>IF(M58=0,"      n.s.",+U58/M58)</f>
        <v>0.18796923669580032</v>
      </c>
      <c r="W58" s="8">
        <f>+M58-U58</f>
        <v>342393.4158397921</v>
      </c>
      <c r="X58" s="8">
        <f>+W58</f>
        <v>342393.4158397921</v>
      </c>
      <c r="Y58" s="8"/>
      <c r="Z58" s="8">
        <f>+M58+N58-P58-S58</f>
        <v>478028.0558397921</v>
      </c>
      <c r="AA58" s="84">
        <f>ROUND((H58+G58+F58)/(D58)*E58,2)</f>
        <v>59405.27</v>
      </c>
      <c r="AB58" s="54">
        <f>+AA58-I58</f>
        <v>0</v>
      </c>
      <c r="AD58" s="3">
        <v>87517.41</v>
      </c>
      <c r="AE58" s="3">
        <v>65553.5</v>
      </c>
      <c r="AN58" s="49" t="s">
        <v>133</v>
      </c>
    </row>
    <row r="59" spans="1:32" s="3" customFormat="1" ht="12.75" customHeight="1">
      <c r="A59" s="61">
        <v>150101</v>
      </c>
      <c r="B59" s="32" t="s">
        <v>48</v>
      </c>
      <c r="C59" s="33"/>
      <c r="D59" s="50">
        <v>2982362.04</v>
      </c>
      <c r="E59" s="50"/>
      <c r="F59" s="50">
        <v>21047.01</v>
      </c>
      <c r="G59" s="50"/>
      <c r="H59" s="50">
        <v>17412.44</v>
      </c>
      <c r="I59" s="50"/>
      <c r="J59" s="62"/>
      <c r="K59" s="8">
        <f>+D59+E59-F59-G59-H59-I59</f>
        <v>2943902.5900000003</v>
      </c>
      <c r="L59" s="8">
        <v>2900000</v>
      </c>
      <c r="M59" s="63">
        <f>IF(K59&gt;L59,(K59-L59),0)</f>
        <v>43902.59000000032</v>
      </c>
      <c r="N59" s="8"/>
      <c r="O59" s="8"/>
      <c r="P59" s="8">
        <f>+M59/M$61*P$61</f>
        <v>6536.99513922176</v>
      </c>
      <c r="Q59" s="142">
        <f>+(M59+N59)/(M$61+N$61)*Q$61</f>
        <v>6087.761650791193</v>
      </c>
      <c r="R59" s="63">
        <f>'All A - ESITO 2010 comp reg'!P59/'All A - ESITO 2010 comp reg'!P$61*'ALL B - ESITO 2010 comp ASL'!R$61</f>
        <v>0</v>
      </c>
      <c r="S59" s="8">
        <f>ROUND(R$100/(M$100-P$100)*(M59-P59),2)</f>
        <v>1715.34</v>
      </c>
      <c r="T59" s="8">
        <f>+Z59/$Z$100*$AA$100</f>
        <v>1280.3775115016513</v>
      </c>
      <c r="U59" s="88">
        <f>IF((P59+S59)&lt;(Q59+T59),P59+S59,Q59+T59)</f>
        <v>7368.139162292844</v>
      </c>
      <c r="V59" s="119">
        <f>IF(M59=0,"      n.s.",+U59/M59)</f>
        <v>0.16782925932827178</v>
      </c>
      <c r="W59" s="8">
        <f>+M59-U59</f>
        <v>36534.450837707474</v>
      </c>
      <c r="X59" s="8">
        <f>+W59</f>
        <v>36534.450837707474</v>
      </c>
      <c r="Y59" s="8"/>
      <c r="Z59" s="8">
        <f>+M59+N59-P59-S59</f>
        <v>35650.25486077856</v>
      </c>
      <c r="AD59" s="54">
        <f>+AD57-AD58</f>
        <v>41468.34999999999</v>
      </c>
      <c r="AE59" s="54">
        <f>+AE57-AE58</f>
        <v>94166.29000000001</v>
      </c>
      <c r="AF59" s="54">
        <f>SUM(AD59:AE59)</f>
        <v>135634.64</v>
      </c>
    </row>
    <row r="60" spans="1:40" s="3" customFormat="1" ht="12.75" customHeight="1">
      <c r="A60" s="61">
        <v>150116</v>
      </c>
      <c r="B60" s="35" t="s">
        <v>46</v>
      </c>
      <c r="C60" s="36"/>
      <c r="D60" s="50">
        <v>16815722.42</v>
      </c>
      <c r="E60" s="50"/>
      <c r="F60" s="50"/>
      <c r="G60" s="50">
        <v>65358.41</v>
      </c>
      <c r="H60" s="50">
        <v>89403.11</v>
      </c>
      <c r="I60" s="50"/>
      <c r="J60" s="92" t="s">
        <v>121</v>
      </c>
      <c r="K60" s="8">
        <f>+D60+E60-F60-G60-H60-I60</f>
        <v>16660960.900000002</v>
      </c>
      <c r="L60" s="9">
        <v>17000000</v>
      </c>
      <c r="M60" s="63">
        <f>IF(K60&gt;L60,(K60-L60),0)</f>
        <v>0</v>
      </c>
      <c r="N60" s="9"/>
      <c r="O60" s="9">
        <v>65358.41</v>
      </c>
      <c r="P60" s="8">
        <f>+M60/M$61*P$61</f>
        <v>0</v>
      </c>
      <c r="Q60" s="142">
        <f>+(M60+N60)/(M$61+N$61)*Q$61</f>
        <v>0</v>
      </c>
      <c r="R60" s="63">
        <f>'All A - ESITO 2010 comp reg'!P60/'All A - ESITO 2010 comp reg'!P$61*'ALL B - ESITO 2010 comp ASL'!R$61</f>
        <v>0</v>
      </c>
      <c r="S60" s="8">
        <f>ROUND(R$100/(M$100-P$100)*(M60-P60),2)</f>
        <v>0</v>
      </c>
      <c r="T60" s="8">
        <f>+Z60/$Z$100*$AA$100</f>
        <v>0</v>
      </c>
      <c r="U60" s="88">
        <f>IF((P60+S60)&lt;(Q60+T60),P60+S60,Q60+T60)</f>
        <v>0</v>
      </c>
      <c r="V60" s="120" t="str">
        <f>IF(M60=0,"      n.s.",+U60/M60)</f>
        <v>      n.s.</v>
      </c>
      <c r="W60" s="8">
        <f>+M60-U60</f>
        <v>0</v>
      </c>
      <c r="X60" s="8">
        <f>+W60</f>
        <v>0</v>
      </c>
      <c r="Y60" s="9"/>
      <c r="Z60" s="8">
        <f>+M60+N60-P60-S60</f>
        <v>0</v>
      </c>
      <c r="AN60" s="49" t="s">
        <v>133</v>
      </c>
    </row>
    <row r="61" spans="1:26" s="3" customFormat="1" ht="15.75" customHeight="1">
      <c r="A61" s="56"/>
      <c r="B61" s="26" t="s">
        <v>14</v>
      </c>
      <c r="C61" s="27"/>
      <c r="D61" s="64">
        <f aca="true" t="shared" si="47" ref="D61:I61">SUM(D57:D60)</f>
        <v>55017599.81</v>
      </c>
      <c r="E61" s="64">
        <f t="shared" si="47"/>
        <v>707744.72368</v>
      </c>
      <c r="F61" s="64">
        <f t="shared" si="47"/>
        <v>150821.71</v>
      </c>
      <c r="G61" s="64">
        <f t="shared" si="47"/>
        <v>572593.38</v>
      </c>
      <c r="H61" s="64">
        <f t="shared" si="47"/>
        <v>643518.2899999999</v>
      </c>
      <c r="I61" s="64">
        <f t="shared" si="47"/>
        <v>59405.27</v>
      </c>
      <c r="J61" s="65"/>
      <c r="K61" s="64">
        <f aca="true" t="shared" si="48" ref="K61:Z61">SUM(K57:K60)</f>
        <v>54299005.88368</v>
      </c>
      <c r="L61" s="64">
        <f t="shared" si="48"/>
        <v>52800000</v>
      </c>
      <c r="M61" s="64">
        <f t="shared" si="48"/>
        <v>1838044.9836799982</v>
      </c>
      <c r="N61" s="64">
        <f t="shared" si="48"/>
        <v>135634.64</v>
      </c>
      <c r="O61" s="64">
        <f t="shared" si="48"/>
        <v>65358.41</v>
      </c>
      <c r="P61" s="64">
        <f>IF('All A - ESITO 2010 comp reg'!P61&gt;'All A - ESITO 2010 comp reg'!M61,'All A - ESITO 2010 comp reg'!M61,'All A - ESITO 2010 comp reg'!P61)</f>
        <v>273680.68999999773</v>
      </c>
      <c r="Q61" s="64">
        <f>IF('All A - ESITO 2010 comp reg'!P61&gt;('All A - ESITO 2010 comp reg'!M61+'All A - ESITO 2010 comp reg'!N61),('All A - ESITO 2010 comp reg'!M61+'All A - ESITO 2010 comp reg'!N61),'All A - ESITO 2010 comp reg'!P61)</f>
        <v>273680.68999999773</v>
      </c>
      <c r="R61" s="64">
        <f>+'All A - ESITO 2010 comp reg'!P61-'ALL B - ESITO 2010 comp ASL'!P61</f>
        <v>0</v>
      </c>
      <c r="S61" s="64">
        <f t="shared" si="48"/>
        <v>71815.23</v>
      </c>
      <c r="T61" s="64">
        <f t="shared" si="48"/>
        <v>58476.15415167368</v>
      </c>
      <c r="U61" s="95">
        <f t="shared" si="48"/>
        <v>316969.7640176007</v>
      </c>
      <c r="V61" s="120">
        <f>+U61/M61</f>
        <v>0.17244940511901247</v>
      </c>
      <c r="W61" s="64">
        <f t="shared" si="48"/>
        <v>1521075.2196623974</v>
      </c>
      <c r="X61" s="64">
        <f t="shared" si="48"/>
        <v>1521075.2196623974</v>
      </c>
      <c r="Y61" s="64">
        <f t="shared" si="48"/>
        <v>0</v>
      </c>
      <c r="Z61" s="64">
        <f t="shared" si="48"/>
        <v>1628183.7036800005</v>
      </c>
    </row>
    <row r="62" spans="1:26" s="3" customFormat="1" ht="6" customHeight="1">
      <c r="A62" s="56"/>
      <c r="B62" s="26"/>
      <c r="C62" s="3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98"/>
      <c r="V62" s="115"/>
      <c r="W62" s="104"/>
      <c r="X62" s="104"/>
      <c r="Y62" s="104"/>
      <c r="Z62" s="104"/>
    </row>
    <row r="63" spans="1:26" s="3" customFormat="1" ht="15.75" customHeight="1">
      <c r="A63" s="40" t="s">
        <v>49</v>
      </c>
      <c r="B63" s="37"/>
      <c r="C63" s="38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7"/>
      <c r="V63" s="116"/>
      <c r="W63" s="90"/>
      <c r="X63" s="90"/>
      <c r="Y63" s="90"/>
      <c r="Z63" s="90"/>
    </row>
    <row r="64" spans="1:42" s="3" customFormat="1" ht="12.75" customHeight="1">
      <c r="A64" s="61">
        <v>150082</v>
      </c>
      <c r="B64" s="32" t="s">
        <v>53</v>
      </c>
      <c r="C64" s="24" t="s">
        <v>103</v>
      </c>
      <c r="D64" s="50">
        <v>3550394.87</v>
      </c>
      <c r="E64" s="50">
        <v>685165.07</v>
      </c>
      <c r="F64" s="50"/>
      <c r="G64" s="50">
        <v>4544.76</v>
      </c>
      <c r="H64" s="50">
        <v>142723.59</v>
      </c>
      <c r="I64" s="50">
        <v>28420.21</v>
      </c>
      <c r="J64" s="62"/>
      <c r="K64" s="8">
        <f aca="true" t="shared" si="49" ref="K64:K76">+D64+E64-F64-G64-H64-I64</f>
        <v>4059871.380000001</v>
      </c>
      <c r="L64" s="8">
        <v>3300000</v>
      </c>
      <c r="M64" s="63">
        <f aca="true" t="shared" si="50" ref="M64:M76">IF(K64&gt;L64,(K64-L64),0)</f>
        <v>759871.3800000008</v>
      </c>
      <c r="N64" s="8"/>
      <c r="O64" s="8"/>
      <c r="P64" s="8">
        <f>+M64/M$77*P$77</f>
        <v>244073.38535965682</v>
      </c>
      <c r="Q64" s="142">
        <f>+(M64+N64)/(M$77+N$77)*Q$77</f>
        <v>243352.29464985462</v>
      </c>
      <c r="R64" s="63">
        <f>'All A - ESITO 2010 comp reg'!P64/'All A - ESITO 2010 comp reg'!P$77*'ALL B - ESITO 2010 comp ASL'!R$77</f>
        <v>0</v>
      </c>
      <c r="S64" s="8">
        <f aca="true" t="shared" si="51" ref="S64:S76">ROUND(R$100/(M$100-P$100)*(M64-P64),2)</f>
        <v>23678.73</v>
      </c>
      <c r="T64" s="8">
        <f aca="true" t="shared" si="52" ref="T64:T76">+Z64/$Z$100*$AA$100</f>
        <v>17674.44417670751</v>
      </c>
      <c r="U64" s="88">
        <f aca="true" t="shared" si="53" ref="U64:U76">IF((P64+S64)&lt;(Q64+T64),P64+S64,Q64+T64)</f>
        <v>261026.73882656213</v>
      </c>
      <c r="V64" s="114">
        <f aca="true" t="shared" si="54" ref="V64:V77">IF(M64=0,"      n.s.",+U64/M64)</f>
        <v>0.34351437058540335</v>
      </c>
      <c r="W64" s="8">
        <f aca="true" t="shared" si="55" ref="W64:W76">+M64-U64</f>
        <v>498844.6411734387</v>
      </c>
      <c r="X64" s="8">
        <f aca="true" t="shared" si="56" ref="X64:X76">+W64</f>
        <v>498844.6411734387</v>
      </c>
      <c r="Y64" s="8"/>
      <c r="Z64" s="8">
        <f aca="true" t="shared" si="57" ref="Z64:Z76">+M64+N64-P64-S64</f>
        <v>492119.264640344</v>
      </c>
      <c r="AA64" s="84">
        <f aca="true" t="shared" si="58" ref="AA64:AA76">ROUND((H64+G64+F64)/(D64)*E64,2)</f>
        <v>28420.26</v>
      </c>
      <c r="AB64" s="54">
        <f aca="true" t="shared" si="59" ref="AB64:AB76">+AA64-I64</f>
        <v>0.049999999999272404</v>
      </c>
      <c r="AI64" s="54"/>
      <c r="AJ64" s="54"/>
      <c r="AK64" s="54"/>
      <c r="AL64" s="54"/>
      <c r="AM64" s="54"/>
      <c r="AN64" s="54"/>
      <c r="AO64" s="54"/>
      <c r="AP64" s="54"/>
    </row>
    <row r="65" spans="1:42" s="3" customFormat="1" ht="12.75" customHeight="1">
      <c r="A65" s="61">
        <v>150100</v>
      </c>
      <c r="B65" s="32" t="s">
        <v>56</v>
      </c>
      <c r="C65" s="33"/>
      <c r="D65" s="50">
        <v>11684210.48</v>
      </c>
      <c r="E65" s="50"/>
      <c r="F65" s="50"/>
      <c r="G65" s="50">
        <v>235898.36</v>
      </c>
      <c r="H65" s="50">
        <v>351233.22</v>
      </c>
      <c r="I65" s="50"/>
      <c r="J65" s="62"/>
      <c r="K65" s="8">
        <f t="shared" si="49"/>
        <v>11097078.9</v>
      </c>
      <c r="L65" s="8">
        <v>11500000</v>
      </c>
      <c r="M65" s="63">
        <f t="shared" si="50"/>
        <v>0</v>
      </c>
      <c r="N65" s="8"/>
      <c r="O65" s="8"/>
      <c r="P65" s="8">
        <f aca="true" t="shared" si="60" ref="P65:P76">+M65/M$77*P$77</f>
        <v>0</v>
      </c>
      <c r="Q65" s="142">
        <f aca="true" t="shared" si="61" ref="Q65:Q76">+(M65+N65)/(M$77+N$77)*Q$77</f>
        <v>0</v>
      </c>
      <c r="R65" s="63">
        <f>'All A - ESITO 2010 comp reg'!P65/'All A - ESITO 2010 comp reg'!P$77*'ALL B - ESITO 2010 comp ASL'!R$77</f>
        <v>0</v>
      </c>
      <c r="S65" s="8">
        <f t="shared" si="51"/>
        <v>0</v>
      </c>
      <c r="T65" s="8">
        <f t="shared" si="52"/>
        <v>0</v>
      </c>
      <c r="U65" s="88">
        <f t="shared" si="53"/>
        <v>0</v>
      </c>
      <c r="V65" s="114" t="str">
        <f t="shared" si="54"/>
        <v>      n.s.</v>
      </c>
      <c r="W65" s="8">
        <f t="shared" si="55"/>
        <v>0</v>
      </c>
      <c r="X65" s="8">
        <f t="shared" si="56"/>
        <v>0</v>
      </c>
      <c r="Y65" s="8"/>
      <c r="Z65" s="8">
        <f t="shared" si="57"/>
        <v>0</v>
      </c>
      <c r="AA65" s="84">
        <f t="shared" si="58"/>
        <v>0</v>
      </c>
      <c r="AB65" s="54">
        <f t="shared" si="59"/>
        <v>0</v>
      </c>
      <c r="AI65" s="54"/>
      <c r="AJ65" s="54"/>
      <c r="AK65" s="54"/>
      <c r="AL65" s="54"/>
      <c r="AM65" s="54"/>
      <c r="AN65" s="54"/>
      <c r="AO65" s="54"/>
      <c r="AP65" s="54"/>
    </row>
    <row r="66" spans="1:42" s="3" customFormat="1" ht="12.75" customHeight="1">
      <c r="A66" s="61">
        <v>150102</v>
      </c>
      <c r="B66" s="32" t="s">
        <v>59</v>
      </c>
      <c r="C66" s="33"/>
      <c r="D66" s="50">
        <v>3394129.77</v>
      </c>
      <c r="E66" s="50"/>
      <c r="F66" s="50"/>
      <c r="G66" s="50">
        <v>333.7</v>
      </c>
      <c r="H66" s="50">
        <v>103714.12</v>
      </c>
      <c r="I66" s="50"/>
      <c r="J66" s="62"/>
      <c r="K66" s="8">
        <f t="shared" si="49"/>
        <v>3290081.9499999997</v>
      </c>
      <c r="L66" s="8">
        <v>3100000</v>
      </c>
      <c r="M66" s="63">
        <f t="shared" si="50"/>
        <v>190081.94999999972</v>
      </c>
      <c r="N66" s="8"/>
      <c r="O66" s="8"/>
      <c r="P66" s="8">
        <f t="shared" si="60"/>
        <v>61054.99727107093</v>
      </c>
      <c r="Q66" s="142">
        <f t="shared" si="61"/>
        <v>60874.61631206431</v>
      </c>
      <c r="R66" s="63">
        <f>'All A - ESITO 2010 comp reg'!P66/'All A - ESITO 2010 comp reg'!P$77*'ALL B - ESITO 2010 comp ASL'!R$77</f>
        <v>0</v>
      </c>
      <c r="S66" s="8">
        <f t="shared" si="51"/>
        <v>5923.24</v>
      </c>
      <c r="T66" s="8">
        <f t="shared" si="52"/>
        <v>4421.2650365618665</v>
      </c>
      <c r="U66" s="88">
        <f t="shared" si="53"/>
        <v>65295.88134862618</v>
      </c>
      <c r="V66" s="114">
        <f t="shared" si="54"/>
        <v>0.343514370242026</v>
      </c>
      <c r="W66" s="8">
        <f t="shared" si="55"/>
        <v>124786.06865137354</v>
      </c>
      <c r="X66" s="8">
        <f t="shared" si="56"/>
        <v>124786.06865137354</v>
      </c>
      <c r="Y66" s="8"/>
      <c r="Z66" s="8">
        <f t="shared" si="57"/>
        <v>123103.71272892879</v>
      </c>
      <c r="AA66" s="84">
        <f t="shared" si="58"/>
        <v>0</v>
      </c>
      <c r="AB66" s="54">
        <f t="shared" si="59"/>
        <v>0</v>
      </c>
      <c r="AI66" s="54"/>
      <c r="AJ66" s="54"/>
      <c r="AK66" s="54"/>
      <c r="AL66" s="54"/>
      <c r="AM66" s="54"/>
      <c r="AN66" s="54"/>
      <c r="AO66" s="54"/>
      <c r="AP66" s="54"/>
    </row>
    <row r="67" spans="1:42" s="3" customFormat="1" ht="12.75" customHeight="1">
      <c r="A67" s="61">
        <v>150105</v>
      </c>
      <c r="B67" s="32" t="s">
        <v>57</v>
      </c>
      <c r="C67" s="33"/>
      <c r="D67" s="50">
        <v>13151867.06</v>
      </c>
      <c r="E67" s="50"/>
      <c r="F67" s="50"/>
      <c r="G67" s="50">
        <v>189009.35</v>
      </c>
      <c r="H67" s="50">
        <v>75073.4</v>
      </c>
      <c r="I67" s="50"/>
      <c r="J67" s="62"/>
      <c r="K67" s="8">
        <f t="shared" si="49"/>
        <v>12887784.31</v>
      </c>
      <c r="L67" s="8">
        <v>12700000</v>
      </c>
      <c r="M67" s="63">
        <f t="shared" si="50"/>
        <v>187784.31000000052</v>
      </c>
      <c r="N67" s="8"/>
      <c r="O67" s="8"/>
      <c r="P67" s="8">
        <f t="shared" si="60"/>
        <v>60316.98714475513</v>
      </c>
      <c r="Q67" s="142">
        <f t="shared" si="61"/>
        <v>60138.7865637731</v>
      </c>
      <c r="R67" s="63">
        <f>'All A - ESITO 2010 comp reg'!P67/'All A - ESITO 2010 comp reg'!P$77*'ALL B - ESITO 2010 comp ASL'!R$77</f>
        <v>0</v>
      </c>
      <c r="S67" s="8">
        <f t="shared" si="51"/>
        <v>5851.64</v>
      </c>
      <c r="T67" s="8">
        <f t="shared" si="52"/>
        <v>4367.822501742769</v>
      </c>
      <c r="U67" s="88">
        <f t="shared" si="53"/>
        <v>64506.60906551587</v>
      </c>
      <c r="V67" s="114">
        <f t="shared" si="54"/>
        <v>0.3435143706389298</v>
      </c>
      <c r="W67" s="8">
        <f t="shared" si="55"/>
        <v>123277.70093448466</v>
      </c>
      <c r="X67" s="8">
        <f t="shared" si="56"/>
        <v>123277.70093448466</v>
      </c>
      <c r="Y67" s="8"/>
      <c r="Z67" s="8">
        <f t="shared" si="57"/>
        <v>121615.6828552454</v>
      </c>
      <c r="AA67" s="84">
        <f t="shared" si="58"/>
        <v>0</v>
      </c>
      <c r="AB67" s="54">
        <f t="shared" si="59"/>
        <v>0</v>
      </c>
      <c r="AI67" s="54"/>
      <c r="AJ67" s="54"/>
      <c r="AK67" s="54"/>
      <c r="AL67" s="54"/>
      <c r="AM67" s="54"/>
      <c r="AN67" s="54"/>
      <c r="AO67" s="54"/>
      <c r="AP67" s="54"/>
    </row>
    <row r="68" spans="1:42" s="3" customFormat="1" ht="12.75" customHeight="1">
      <c r="A68" s="61">
        <v>150107</v>
      </c>
      <c r="B68" s="32" t="s">
        <v>51</v>
      </c>
      <c r="C68" s="33"/>
      <c r="D68" s="50">
        <v>1361905.1</v>
      </c>
      <c r="E68" s="50"/>
      <c r="F68" s="50"/>
      <c r="G68" s="50"/>
      <c r="H68" s="50">
        <f>137183.69</f>
        <v>137183.69</v>
      </c>
      <c r="I68" s="50"/>
      <c r="J68" s="62" t="s">
        <v>123</v>
      </c>
      <c r="K68" s="8">
        <f t="shared" si="49"/>
        <v>1224721.4100000001</v>
      </c>
      <c r="L68" s="8">
        <v>1350000</v>
      </c>
      <c r="M68" s="63">
        <f t="shared" si="50"/>
        <v>0</v>
      </c>
      <c r="N68" s="8">
        <f>137183.69-L68+K68</f>
        <v>11905.100000000093</v>
      </c>
      <c r="O68" s="8">
        <f>+L68-K68</f>
        <v>125278.58999999985</v>
      </c>
      <c r="P68" s="8">
        <f t="shared" si="60"/>
        <v>0</v>
      </c>
      <c r="Q68" s="142">
        <f t="shared" si="61"/>
        <v>3812.6628785992757</v>
      </c>
      <c r="R68" s="63">
        <f>'All A - ESITO 2010 comp reg'!P68/'All A - ESITO 2010 comp reg'!P$77*'ALL B - ESITO 2010 comp ASL'!R$77</f>
        <v>0</v>
      </c>
      <c r="S68" s="8">
        <f t="shared" si="51"/>
        <v>0</v>
      </c>
      <c r="T68" s="8">
        <f t="shared" si="52"/>
        <v>427.5712017124564</v>
      </c>
      <c r="U68" s="88">
        <f t="shared" si="53"/>
        <v>0</v>
      </c>
      <c r="V68" s="114" t="str">
        <f t="shared" si="54"/>
        <v>      n.s.</v>
      </c>
      <c r="W68" s="8">
        <f t="shared" si="55"/>
        <v>0</v>
      </c>
      <c r="X68" s="8">
        <f t="shared" si="56"/>
        <v>0</v>
      </c>
      <c r="Y68" s="8"/>
      <c r="Z68" s="8">
        <f t="shared" si="57"/>
        <v>11905.100000000093</v>
      </c>
      <c r="AA68" s="84">
        <f t="shared" si="58"/>
        <v>0</v>
      </c>
      <c r="AB68" s="54">
        <f t="shared" si="59"/>
        <v>0</v>
      </c>
      <c r="AI68" s="54"/>
      <c r="AJ68" s="54"/>
      <c r="AK68" s="54"/>
      <c r="AL68" s="54"/>
      <c r="AM68" s="54"/>
      <c r="AN68" s="49" t="s">
        <v>133</v>
      </c>
      <c r="AO68" s="54"/>
      <c r="AP68" s="54"/>
    </row>
    <row r="69" spans="1:42" s="3" customFormat="1" ht="12.75" customHeight="1">
      <c r="A69" s="61">
        <v>150108</v>
      </c>
      <c r="B69" s="32" t="s">
        <v>62</v>
      </c>
      <c r="C69" s="24" t="s">
        <v>105</v>
      </c>
      <c r="D69" s="50">
        <v>9900190.58</v>
      </c>
      <c r="E69" s="50">
        <v>1747128.52</v>
      </c>
      <c r="F69" s="50"/>
      <c r="G69" s="50">
        <v>83683.1</v>
      </c>
      <c r="H69" s="50">
        <v>474991.83</v>
      </c>
      <c r="I69" s="50">
        <v>98589.69</v>
      </c>
      <c r="J69" s="62"/>
      <c r="K69" s="8">
        <f t="shared" si="49"/>
        <v>10990054.48</v>
      </c>
      <c r="L69" s="8">
        <v>10100000</v>
      </c>
      <c r="M69" s="63">
        <f t="shared" si="50"/>
        <v>890054.4800000004</v>
      </c>
      <c r="N69" s="8"/>
      <c r="O69" s="8"/>
      <c r="P69" s="8">
        <f t="shared" si="60"/>
        <v>285888.65932564647</v>
      </c>
      <c r="Q69" s="142">
        <f t="shared" si="61"/>
        <v>285044.029519026</v>
      </c>
      <c r="R69" s="63">
        <f>'All A - ESITO 2010 comp reg'!P69/'All A - ESITO 2010 comp reg'!P$77*'ALL B - ESITO 2010 comp ASL'!R$77</f>
        <v>0</v>
      </c>
      <c r="S69" s="8">
        <f t="shared" si="51"/>
        <v>27735.43</v>
      </c>
      <c r="T69" s="8">
        <f t="shared" si="52"/>
        <v>20702.474976624497</v>
      </c>
      <c r="U69" s="88">
        <f t="shared" si="53"/>
        <v>305746.5044956505</v>
      </c>
      <c r="V69" s="114">
        <f t="shared" si="54"/>
        <v>0.3435143705985844</v>
      </c>
      <c r="W69" s="8">
        <f t="shared" si="55"/>
        <v>584307.9755043499</v>
      </c>
      <c r="X69" s="8">
        <f t="shared" si="56"/>
        <v>584307.9755043499</v>
      </c>
      <c r="Y69" s="8"/>
      <c r="Z69" s="8">
        <f t="shared" si="57"/>
        <v>576430.3906743539</v>
      </c>
      <c r="AA69" s="84">
        <f t="shared" si="58"/>
        <v>98591.73</v>
      </c>
      <c r="AB69" s="54">
        <f t="shared" si="59"/>
        <v>2.039999999993597</v>
      </c>
      <c r="AI69" s="54"/>
      <c r="AJ69" s="54"/>
      <c r="AK69" s="54"/>
      <c r="AL69" s="54"/>
      <c r="AM69" s="54"/>
      <c r="AN69" s="54"/>
      <c r="AO69" s="54"/>
      <c r="AP69" s="54"/>
    </row>
    <row r="70" spans="1:42" s="3" customFormat="1" ht="12.75" customHeight="1">
      <c r="A70" s="61">
        <v>150110</v>
      </c>
      <c r="B70" s="32" t="s">
        <v>54</v>
      </c>
      <c r="C70" s="33"/>
      <c r="D70" s="50">
        <v>14896639.3</v>
      </c>
      <c r="E70" s="50"/>
      <c r="F70" s="50"/>
      <c r="G70" s="50">
        <v>163687.88</v>
      </c>
      <c r="H70" s="50">
        <v>351722.34</v>
      </c>
      <c r="I70" s="50"/>
      <c r="J70" s="62"/>
      <c r="K70" s="8">
        <f t="shared" si="49"/>
        <v>14381229.08</v>
      </c>
      <c r="L70" s="8">
        <v>13400000</v>
      </c>
      <c r="M70" s="63">
        <f t="shared" si="50"/>
        <v>981229.0800000001</v>
      </c>
      <c r="N70" s="8"/>
      <c r="O70" s="8"/>
      <c r="P70" s="8">
        <f t="shared" si="60"/>
        <v>315174.2645826999</v>
      </c>
      <c r="Q70" s="142">
        <f t="shared" si="61"/>
        <v>314243.11334790045</v>
      </c>
      <c r="R70" s="63">
        <f>'All A - ESITO 2010 comp reg'!P70/'All A - ESITO 2010 comp reg'!P$77*'ALL B - ESITO 2010 comp ASL'!R$77</f>
        <v>0</v>
      </c>
      <c r="S70" s="8">
        <f t="shared" si="51"/>
        <v>30576.57</v>
      </c>
      <c r="T70" s="8">
        <f t="shared" si="52"/>
        <v>22823.17637442745</v>
      </c>
      <c r="U70" s="88">
        <f t="shared" si="53"/>
        <v>337066.2897223279</v>
      </c>
      <c r="V70" s="114">
        <f t="shared" si="54"/>
        <v>0.34351437048963923</v>
      </c>
      <c r="W70" s="8">
        <f t="shared" si="55"/>
        <v>644162.7902776722</v>
      </c>
      <c r="X70" s="8">
        <f t="shared" si="56"/>
        <v>644162.7902776722</v>
      </c>
      <c r="Y70" s="8"/>
      <c r="Z70" s="8">
        <f t="shared" si="57"/>
        <v>635478.2454173003</v>
      </c>
      <c r="AA70" s="84">
        <f t="shared" si="58"/>
        <v>0</v>
      </c>
      <c r="AB70" s="54">
        <f t="shared" si="59"/>
        <v>0</v>
      </c>
      <c r="AI70" s="54"/>
      <c r="AJ70" s="54"/>
      <c r="AK70" s="54"/>
      <c r="AL70" s="54"/>
      <c r="AM70" s="54"/>
      <c r="AN70" s="54"/>
      <c r="AO70" s="54"/>
      <c r="AP70" s="54"/>
    </row>
    <row r="71" spans="1:42" s="3" customFormat="1" ht="12.75" customHeight="1">
      <c r="A71" s="61">
        <v>150113</v>
      </c>
      <c r="B71" s="32" t="s">
        <v>61</v>
      </c>
      <c r="C71" s="33"/>
      <c r="D71" s="50">
        <v>21709162.41</v>
      </c>
      <c r="E71" s="50"/>
      <c r="F71" s="50"/>
      <c r="G71" s="50">
        <v>52533.72</v>
      </c>
      <c r="H71" s="50">
        <v>556597.07</v>
      </c>
      <c r="I71" s="50"/>
      <c r="J71" s="62"/>
      <c r="K71" s="8">
        <f t="shared" si="49"/>
        <v>21100031.62</v>
      </c>
      <c r="L71" s="8">
        <v>20500000</v>
      </c>
      <c r="M71" s="63">
        <f t="shared" si="50"/>
        <v>600031.620000001</v>
      </c>
      <c r="N71" s="8"/>
      <c r="O71" s="8"/>
      <c r="P71" s="8">
        <f t="shared" si="60"/>
        <v>192732.28689865812</v>
      </c>
      <c r="Q71" s="142">
        <f t="shared" si="61"/>
        <v>192162.87839327453</v>
      </c>
      <c r="R71" s="63">
        <f>'All A - ESITO 2010 comp reg'!P71/'All A - ESITO 2010 comp reg'!P$77*'ALL B - ESITO 2010 comp ASL'!R$77</f>
        <v>0</v>
      </c>
      <c r="S71" s="8">
        <f t="shared" si="51"/>
        <v>18697.88</v>
      </c>
      <c r="T71" s="8">
        <f t="shared" si="52"/>
        <v>13956.606016727841</v>
      </c>
      <c r="U71" s="88">
        <f t="shared" si="53"/>
        <v>206119.48441000236</v>
      </c>
      <c r="V71" s="114">
        <f t="shared" si="54"/>
        <v>0.34351437080932834</v>
      </c>
      <c r="W71" s="8">
        <f t="shared" si="55"/>
        <v>393912.1355899987</v>
      </c>
      <c r="X71" s="8">
        <f t="shared" si="56"/>
        <v>393912.1355899987</v>
      </c>
      <c r="Y71" s="8"/>
      <c r="Z71" s="8">
        <f t="shared" si="57"/>
        <v>388601.4531013429</v>
      </c>
      <c r="AA71" s="84">
        <f t="shared" si="58"/>
        <v>0</v>
      </c>
      <c r="AB71" s="54">
        <f t="shared" si="59"/>
        <v>0</v>
      </c>
      <c r="AI71" s="54"/>
      <c r="AJ71" s="54"/>
      <c r="AK71" s="54"/>
      <c r="AL71" s="54"/>
      <c r="AM71" s="54"/>
      <c r="AN71" s="54"/>
      <c r="AO71" s="54"/>
      <c r="AP71" s="54"/>
    </row>
    <row r="72" spans="1:42" s="3" customFormat="1" ht="12.75" customHeight="1">
      <c r="A72" s="61">
        <v>150114</v>
      </c>
      <c r="B72" s="32" t="s">
        <v>52</v>
      </c>
      <c r="C72" s="24" t="s">
        <v>105</v>
      </c>
      <c r="D72" s="50">
        <v>9699018.58</v>
      </c>
      <c r="E72" s="50">
        <v>1711588.89</v>
      </c>
      <c r="F72" s="50"/>
      <c r="G72" s="50">
        <v>32321.12</v>
      </c>
      <c r="H72" s="50">
        <v>356903.32</v>
      </c>
      <c r="I72" s="50">
        <v>68686.67</v>
      </c>
      <c r="J72" s="62"/>
      <c r="K72" s="8">
        <f t="shared" si="49"/>
        <v>10952696.360000001</v>
      </c>
      <c r="L72" s="8">
        <v>9600000</v>
      </c>
      <c r="M72" s="63">
        <f t="shared" si="50"/>
        <v>1352696.3600000013</v>
      </c>
      <c r="N72" s="8"/>
      <c r="O72" s="8"/>
      <c r="P72" s="8">
        <f t="shared" si="60"/>
        <v>434490.87390142924</v>
      </c>
      <c r="Q72" s="142">
        <f t="shared" si="61"/>
        <v>433207.2135293552</v>
      </c>
      <c r="R72" s="63">
        <f>'All A - ESITO 2010 comp reg'!P72/'All A - ESITO 2010 comp reg'!P$77*'ALL B - ESITO 2010 comp ASL'!R$77</f>
        <v>0</v>
      </c>
      <c r="S72" s="8">
        <f t="shared" si="51"/>
        <v>42152.04</v>
      </c>
      <c r="T72" s="8">
        <f t="shared" si="52"/>
        <v>31463.425314588047</v>
      </c>
      <c r="U72" s="88">
        <f t="shared" si="53"/>
        <v>464670.63884394325</v>
      </c>
      <c r="V72" s="114">
        <f t="shared" si="54"/>
        <v>0.3435143706928751</v>
      </c>
      <c r="W72" s="8">
        <f t="shared" si="55"/>
        <v>888025.721156058</v>
      </c>
      <c r="X72" s="8">
        <f t="shared" si="56"/>
        <v>888025.721156058</v>
      </c>
      <c r="Y72" s="8"/>
      <c r="Z72" s="8">
        <f t="shared" si="57"/>
        <v>876053.446098572</v>
      </c>
      <c r="AA72" s="84">
        <f t="shared" si="58"/>
        <v>68686.56</v>
      </c>
      <c r="AB72" s="54">
        <f t="shared" si="59"/>
        <v>-0.11000000000058208</v>
      </c>
      <c r="AI72" s="54"/>
      <c r="AJ72" s="54"/>
      <c r="AK72" s="54"/>
      <c r="AL72" s="54"/>
      <c r="AM72" s="54"/>
      <c r="AN72" s="54"/>
      <c r="AO72" s="54"/>
      <c r="AP72" s="54"/>
    </row>
    <row r="73" spans="1:42" s="3" customFormat="1" ht="12.75" customHeight="1">
      <c r="A73" s="61">
        <v>150115</v>
      </c>
      <c r="B73" s="32" t="s">
        <v>50</v>
      </c>
      <c r="C73" s="33"/>
      <c r="D73" s="50">
        <v>702236.79</v>
      </c>
      <c r="E73" s="50"/>
      <c r="F73" s="50"/>
      <c r="G73" s="50">
        <v>24997.34</v>
      </c>
      <c r="H73" s="50">
        <v>34705.01</v>
      </c>
      <c r="I73" s="50"/>
      <c r="J73" s="62"/>
      <c r="K73" s="8">
        <f t="shared" si="49"/>
        <v>642534.4400000001</v>
      </c>
      <c r="L73" s="8">
        <v>1200000</v>
      </c>
      <c r="M73" s="63">
        <f t="shared" si="50"/>
        <v>0</v>
      </c>
      <c r="N73" s="8"/>
      <c r="O73" s="8"/>
      <c r="P73" s="8">
        <f t="shared" si="60"/>
        <v>0</v>
      </c>
      <c r="Q73" s="142">
        <f t="shared" si="61"/>
        <v>0</v>
      </c>
      <c r="R73" s="63">
        <f>'All A - ESITO 2010 comp reg'!P73/'All A - ESITO 2010 comp reg'!P$77*'ALL B - ESITO 2010 comp ASL'!R$77</f>
        <v>0</v>
      </c>
      <c r="S73" s="8">
        <f t="shared" si="51"/>
        <v>0</v>
      </c>
      <c r="T73" s="8">
        <f t="shared" si="52"/>
        <v>0</v>
      </c>
      <c r="U73" s="88">
        <f t="shared" si="53"/>
        <v>0</v>
      </c>
      <c r="V73" s="114" t="str">
        <f t="shared" si="54"/>
        <v>      n.s.</v>
      </c>
      <c r="W73" s="8">
        <f t="shared" si="55"/>
        <v>0</v>
      </c>
      <c r="X73" s="8">
        <f t="shared" si="56"/>
        <v>0</v>
      </c>
      <c r="Y73" s="8"/>
      <c r="Z73" s="8">
        <f t="shared" si="57"/>
        <v>0</v>
      </c>
      <c r="AA73" s="84">
        <f t="shared" si="58"/>
        <v>0</v>
      </c>
      <c r="AB73" s="54">
        <f t="shared" si="59"/>
        <v>0</v>
      </c>
      <c r="AI73" s="54"/>
      <c r="AJ73" s="54"/>
      <c r="AK73" s="54"/>
      <c r="AL73" s="54"/>
      <c r="AM73" s="54"/>
      <c r="AN73" s="54"/>
      <c r="AO73" s="54"/>
      <c r="AP73" s="54"/>
    </row>
    <row r="74" spans="1:42" s="3" customFormat="1" ht="12.75" customHeight="1">
      <c r="A74" s="61">
        <v>150117</v>
      </c>
      <c r="B74" s="32" t="s">
        <v>55</v>
      </c>
      <c r="C74" s="24" t="s">
        <v>103</v>
      </c>
      <c r="D74" s="50">
        <v>3879192.27</v>
      </c>
      <c r="E74" s="50">
        <v>748616.05</v>
      </c>
      <c r="F74" s="50"/>
      <c r="G74" s="50">
        <v>23343.9</v>
      </c>
      <c r="H74" s="50">
        <v>8932.67</v>
      </c>
      <c r="I74" s="50">
        <v>6228.8</v>
      </c>
      <c r="J74" s="62"/>
      <c r="K74" s="8">
        <f t="shared" si="49"/>
        <v>4589302.95</v>
      </c>
      <c r="L74" s="8">
        <v>3300000</v>
      </c>
      <c r="M74" s="63">
        <f t="shared" si="50"/>
        <v>1289302.9500000002</v>
      </c>
      <c r="N74" s="8"/>
      <c r="O74" s="8"/>
      <c r="P74" s="8">
        <f t="shared" si="60"/>
        <v>414128.6855160831</v>
      </c>
      <c r="Q74" s="142">
        <f t="shared" si="61"/>
        <v>412905.1832184106</v>
      </c>
      <c r="R74" s="63">
        <f>'All A - ESITO 2010 comp reg'!P74/'All A - ESITO 2010 comp reg'!P$77*'ALL B - ESITO 2010 comp ASL'!R$77</f>
        <v>0</v>
      </c>
      <c r="S74" s="8">
        <f t="shared" si="51"/>
        <v>40176.61</v>
      </c>
      <c r="T74" s="8">
        <f t="shared" si="52"/>
        <v>29988.908161608724</v>
      </c>
      <c r="U74" s="88">
        <f t="shared" si="53"/>
        <v>442894.0913800193</v>
      </c>
      <c r="V74" s="114">
        <f t="shared" si="54"/>
        <v>0.34351437059848444</v>
      </c>
      <c r="W74" s="8">
        <f t="shared" si="55"/>
        <v>846408.8586199809</v>
      </c>
      <c r="X74" s="8">
        <f t="shared" si="56"/>
        <v>846408.8586199809</v>
      </c>
      <c r="Y74" s="8"/>
      <c r="Z74" s="8">
        <f t="shared" si="57"/>
        <v>834997.654483917</v>
      </c>
      <c r="AA74" s="84">
        <f t="shared" si="58"/>
        <v>6228.81</v>
      </c>
      <c r="AB74" s="54">
        <f t="shared" si="59"/>
        <v>0.010000000000218279</v>
      </c>
      <c r="AI74" s="54"/>
      <c r="AJ74" s="54"/>
      <c r="AK74" s="54"/>
      <c r="AL74" s="54"/>
      <c r="AM74" s="54"/>
      <c r="AN74" s="54"/>
      <c r="AO74" s="54"/>
      <c r="AP74" s="54"/>
    </row>
    <row r="75" spans="1:42" s="3" customFormat="1" ht="12.75" customHeight="1">
      <c r="A75" s="61">
        <v>150121</v>
      </c>
      <c r="B75" s="32" t="s">
        <v>60</v>
      </c>
      <c r="C75" s="33"/>
      <c r="D75" s="50">
        <v>1068450</v>
      </c>
      <c r="E75" s="50"/>
      <c r="F75" s="50"/>
      <c r="G75" s="50">
        <v>11661.7</v>
      </c>
      <c r="H75" s="50">
        <v>4261.78</v>
      </c>
      <c r="I75" s="50"/>
      <c r="J75" s="62"/>
      <c r="K75" s="8">
        <f t="shared" si="49"/>
        <v>1052526.52</v>
      </c>
      <c r="L75" s="8">
        <v>2100000</v>
      </c>
      <c r="M75" s="63">
        <f t="shared" si="50"/>
        <v>0</v>
      </c>
      <c r="N75" s="8"/>
      <c r="O75" s="8"/>
      <c r="P75" s="8">
        <f t="shared" si="60"/>
        <v>0</v>
      </c>
      <c r="Q75" s="142">
        <f t="shared" si="61"/>
        <v>0</v>
      </c>
      <c r="R75" s="63">
        <f>'All A - ESITO 2010 comp reg'!P75/'All A - ESITO 2010 comp reg'!P$77*'ALL B - ESITO 2010 comp ASL'!R$77</f>
        <v>0</v>
      </c>
      <c r="S75" s="8">
        <f t="shared" si="51"/>
        <v>0</v>
      </c>
      <c r="T75" s="8">
        <f t="shared" si="52"/>
        <v>0</v>
      </c>
      <c r="U75" s="88">
        <f t="shared" si="53"/>
        <v>0</v>
      </c>
      <c r="V75" s="114" t="str">
        <f t="shared" si="54"/>
        <v>      n.s.</v>
      </c>
      <c r="W75" s="8">
        <f t="shared" si="55"/>
        <v>0</v>
      </c>
      <c r="X75" s="8">
        <f t="shared" si="56"/>
        <v>0</v>
      </c>
      <c r="Y75" s="8"/>
      <c r="Z75" s="8">
        <f t="shared" si="57"/>
        <v>0</v>
      </c>
      <c r="AA75" s="84">
        <f t="shared" si="58"/>
        <v>0</v>
      </c>
      <c r="AB75" s="54">
        <f t="shared" si="59"/>
        <v>0</v>
      </c>
      <c r="AI75" s="54"/>
      <c r="AJ75" s="54"/>
      <c r="AK75" s="54"/>
      <c r="AL75" s="54"/>
      <c r="AM75" s="54"/>
      <c r="AN75" s="54"/>
      <c r="AO75" s="54"/>
      <c r="AP75" s="54"/>
    </row>
    <row r="76" spans="1:42" s="3" customFormat="1" ht="12.75" customHeight="1">
      <c r="A76" s="61">
        <v>150192</v>
      </c>
      <c r="B76" s="32" t="s">
        <v>58</v>
      </c>
      <c r="C76" s="33"/>
      <c r="D76" s="50">
        <v>8648768.52</v>
      </c>
      <c r="E76" s="50"/>
      <c r="F76" s="50"/>
      <c r="G76" s="50">
        <v>53105.22</v>
      </c>
      <c r="H76" s="50">
        <v>42150.78</v>
      </c>
      <c r="I76" s="50"/>
      <c r="J76" s="92" t="s">
        <v>124</v>
      </c>
      <c r="K76" s="8">
        <f t="shared" si="49"/>
        <v>8553512.52</v>
      </c>
      <c r="L76" s="9">
        <v>8600000</v>
      </c>
      <c r="M76" s="63">
        <f t="shared" si="50"/>
        <v>0</v>
      </c>
      <c r="N76" s="9">
        <f>53105.22-L76+K76</f>
        <v>6617.7400000002235</v>
      </c>
      <c r="O76" s="9">
        <f>+L76-K76</f>
        <v>46487.48000000045</v>
      </c>
      <c r="P76" s="8">
        <f t="shared" si="60"/>
        <v>0</v>
      </c>
      <c r="Q76" s="142">
        <f t="shared" si="61"/>
        <v>2119.3615877415746</v>
      </c>
      <c r="R76" s="63">
        <f>'All A - ESITO 2010 comp reg'!P76/'All A - ESITO 2010 comp reg'!P$77*'ALL B - ESITO 2010 comp ASL'!R$77</f>
        <v>0</v>
      </c>
      <c r="S76" s="8">
        <f t="shared" si="51"/>
        <v>0</v>
      </c>
      <c r="T76" s="8">
        <f t="shared" si="52"/>
        <v>237.6758737365217</v>
      </c>
      <c r="U76" s="88">
        <f t="shared" si="53"/>
        <v>0</v>
      </c>
      <c r="V76" s="119" t="str">
        <f t="shared" si="54"/>
        <v>      n.s.</v>
      </c>
      <c r="W76" s="8">
        <f t="shared" si="55"/>
        <v>0</v>
      </c>
      <c r="X76" s="8">
        <f t="shared" si="56"/>
        <v>0</v>
      </c>
      <c r="Y76" s="9"/>
      <c r="Z76" s="8">
        <f t="shared" si="57"/>
        <v>6617.7400000002235</v>
      </c>
      <c r="AA76" s="84">
        <f t="shared" si="58"/>
        <v>0</v>
      </c>
      <c r="AB76" s="54">
        <f t="shared" si="59"/>
        <v>0</v>
      </c>
      <c r="AI76" s="54"/>
      <c r="AJ76" s="54"/>
      <c r="AK76" s="54"/>
      <c r="AL76" s="54"/>
      <c r="AM76" s="54"/>
      <c r="AN76" s="49" t="s">
        <v>133</v>
      </c>
      <c r="AO76" s="54"/>
      <c r="AP76" s="54"/>
    </row>
    <row r="77" spans="1:42" s="3" customFormat="1" ht="15.75" customHeight="1">
      <c r="A77" s="56"/>
      <c r="B77" s="26" t="s">
        <v>14</v>
      </c>
      <c r="C77" s="27"/>
      <c r="D77" s="64">
        <f aca="true" t="shared" si="62" ref="D77:I77">SUM(D64:D76)</f>
        <v>103646165.72999999</v>
      </c>
      <c r="E77" s="64">
        <f t="shared" si="62"/>
        <v>4892498.529999999</v>
      </c>
      <c r="F77" s="64">
        <f t="shared" si="62"/>
        <v>0</v>
      </c>
      <c r="G77" s="64">
        <f t="shared" si="62"/>
        <v>875120.1499999999</v>
      </c>
      <c r="H77" s="64">
        <f t="shared" si="62"/>
        <v>2640192.8199999994</v>
      </c>
      <c r="I77" s="64">
        <f t="shared" si="62"/>
        <v>201925.37</v>
      </c>
      <c r="J77" s="65"/>
      <c r="K77" s="64">
        <f aca="true" t="shared" si="63" ref="K77:Z77">SUM(K64:K76)</f>
        <v>104821425.91999999</v>
      </c>
      <c r="L77" s="64">
        <f t="shared" si="63"/>
        <v>100750000</v>
      </c>
      <c r="M77" s="64">
        <f t="shared" si="63"/>
        <v>6251052.130000004</v>
      </c>
      <c r="N77" s="64">
        <f t="shared" si="63"/>
        <v>18522.840000000317</v>
      </c>
      <c r="O77" s="64">
        <f t="shared" si="63"/>
        <v>171766.0700000003</v>
      </c>
      <c r="P77" s="64">
        <f>IF('All A - ESITO 2010 comp reg'!P77&gt;'All A - ESITO 2010 comp reg'!M77,'All A - ESITO 2010 comp reg'!M77,'All A - ESITO 2010 comp reg'!P77)</f>
        <v>2007860.1399999997</v>
      </c>
      <c r="Q77" s="64">
        <f>IF('All A - ESITO 2010 comp reg'!P77&gt;('All A - ESITO 2010 comp reg'!M77+'All A - ESITO 2010 comp reg'!N77),('All A - ESITO 2010 comp reg'!M77+'All A - ESITO 2010 comp reg'!N77),'All A - ESITO 2010 comp reg'!P77)</f>
        <v>2007860.1399999997</v>
      </c>
      <c r="R77" s="64">
        <f>+'All A - ESITO 2010 comp reg'!P77-'ALL B - ESITO 2010 comp ASL'!P77</f>
        <v>0</v>
      </c>
      <c r="S77" s="64">
        <f t="shared" si="63"/>
        <v>194792.14</v>
      </c>
      <c r="T77" s="64">
        <f t="shared" si="63"/>
        <v>146063.3696344377</v>
      </c>
      <c r="U77" s="95">
        <f t="shared" si="63"/>
        <v>2147326.2380926474</v>
      </c>
      <c r="V77" s="120">
        <f t="shared" si="54"/>
        <v>0.34351437061086326</v>
      </c>
      <c r="W77" s="64">
        <f t="shared" si="63"/>
        <v>4103725.8919073567</v>
      </c>
      <c r="X77" s="64">
        <f t="shared" si="63"/>
        <v>4103725.8919073567</v>
      </c>
      <c r="Y77" s="64">
        <f t="shared" si="63"/>
        <v>0</v>
      </c>
      <c r="Z77" s="64">
        <f t="shared" si="63"/>
        <v>4066922.690000005</v>
      </c>
      <c r="AK77" s="54"/>
      <c r="AL77" s="54"/>
      <c r="AM77" s="54"/>
      <c r="AN77" s="54"/>
      <c r="AO77" s="54"/>
      <c r="AP77" s="54"/>
    </row>
    <row r="78" spans="1:26" s="3" customFormat="1" ht="6" customHeight="1">
      <c r="A78" s="56"/>
      <c r="B78" s="26"/>
      <c r="C78" s="34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99"/>
      <c r="V78" s="117"/>
      <c r="W78" s="105"/>
      <c r="X78" s="105"/>
      <c r="Y78" s="105"/>
      <c r="Z78" s="105"/>
    </row>
    <row r="79" spans="1:30" ht="15.75" customHeight="1">
      <c r="A79" s="30" t="s">
        <v>63</v>
      </c>
      <c r="B79" s="37"/>
      <c r="C79" s="38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0"/>
      <c r="V79" s="118"/>
      <c r="W79" s="106"/>
      <c r="X79" s="106"/>
      <c r="Y79" s="106"/>
      <c r="Z79" s="106"/>
      <c r="AA79" s="49"/>
      <c r="AB79" s="49"/>
      <c r="AC79" s="49"/>
      <c r="AD79" s="49"/>
    </row>
    <row r="80" spans="1:40" ht="12.75" customHeight="1">
      <c r="A80" s="61">
        <v>150167</v>
      </c>
      <c r="B80" s="35" t="s">
        <v>67</v>
      </c>
      <c r="C80" s="24" t="s">
        <v>105</v>
      </c>
      <c r="D80" s="50">
        <v>8510136.25</v>
      </c>
      <c r="E80" s="50">
        <v>1504481.66</v>
      </c>
      <c r="F80" s="50"/>
      <c r="G80" s="50">
        <v>142944.07</v>
      </c>
      <c r="H80" s="50">
        <v>123732.83</v>
      </c>
      <c r="I80" s="50">
        <v>47285.97</v>
      </c>
      <c r="J80" s="62" t="s">
        <v>126</v>
      </c>
      <c r="K80" s="8">
        <f aca="true" t="shared" si="64" ref="K80:K89">+D80+E80-F80-G80-H80-I80</f>
        <v>9700655.04</v>
      </c>
      <c r="L80" s="8">
        <v>8700000</v>
      </c>
      <c r="M80" s="63">
        <f aca="true" t="shared" si="65" ref="M80:M89">IF(K80&gt;L80,(K80-L80),0)</f>
        <v>1000655.0399999991</v>
      </c>
      <c r="N80" s="8">
        <v>313962.87</v>
      </c>
      <c r="O80" s="8"/>
      <c r="P80" s="8">
        <f>+M80/M$90*P$90</f>
        <v>74218.52808077678</v>
      </c>
      <c r="Q80" s="142">
        <f>+(M80+N80)/(M$90+N$90)*Q$90</f>
        <v>76414.74279322573</v>
      </c>
      <c r="R80" s="63">
        <f>'All A - ESITO 2010 comp reg'!P80/'All A - ESITO 2010 comp reg'!P$90*'ALL B - ESITO 2010 comp ASL'!R$90</f>
        <v>0</v>
      </c>
      <c r="S80" s="8">
        <f aca="true" t="shared" si="66" ref="S80:S89">ROUND(R$100/(M$100-P$100)*(M80-P80),2)</f>
        <v>42529.9</v>
      </c>
      <c r="T80" s="8">
        <f aca="true" t="shared" si="67" ref="T80:T89">+Z80/$Z$100*$AA$100</f>
        <v>43021.43567705231</v>
      </c>
      <c r="U80" s="88">
        <f aca="true" t="shared" si="68" ref="U80:U89">IF((P80+S80)&lt;(Q80+T80),P80+S80,Q80+T80)</f>
        <v>116748.4280807768</v>
      </c>
      <c r="V80" s="114">
        <f aca="true" t="shared" si="69" ref="V80:V100">IF(M80=0,"      n.s.",+U80/M80)</f>
        <v>0.11667200325176685</v>
      </c>
      <c r="W80" s="8">
        <f aca="true" t="shared" si="70" ref="W80:W89">+M80-U80</f>
        <v>883906.6119192223</v>
      </c>
      <c r="X80" s="8">
        <f aca="true" t="shared" si="71" ref="X80:X89">+W80</f>
        <v>883906.6119192223</v>
      </c>
      <c r="Y80" s="8"/>
      <c r="Z80" s="8">
        <f aca="true" t="shared" si="72" ref="Z80:Z89">+M80+N80-P80-S80</f>
        <v>1197869.4819192225</v>
      </c>
      <c r="AA80" s="84">
        <f>ROUND((H80+G80+F80)/(D80)*E80,2)</f>
        <v>47145.02</v>
      </c>
      <c r="AB80" s="54">
        <f>+AA80-I80</f>
        <v>-140.95000000000437</v>
      </c>
      <c r="AN80" s="49" t="s">
        <v>133</v>
      </c>
    </row>
    <row r="81" spans="1:40" s="3" customFormat="1" ht="12.75" customHeight="1">
      <c r="A81" s="61">
        <v>150170</v>
      </c>
      <c r="B81" s="32" t="s">
        <v>69</v>
      </c>
      <c r="C81" s="33"/>
      <c r="D81" s="50">
        <v>12663728.16</v>
      </c>
      <c r="E81" s="50"/>
      <c r="F81" s="50"/>
      <c r="G81" s="50">
        <v>380601.79</v>
      </c>
      <c r="H81" s="50">
        <v>255726.11</v>
      </c>
      <c r="I81" s="50"/>
      <c r="J81" s="62" t="s">
        <v>125</v>
      </c>
      <c r="K81" s="8">
        <f t="shared" si="64"/>
        <v>12027400.260000002</v>
      </c>
      <c r="L81" s="8">
        <v>12600000</v>
      </c>
      <c r="M81" s="63">
        <f t="shared" si="65"/>
        <v>0</v>
      </c>
      <c r="N81" s="8"/>
      <c r="O81" s="8">
        <v>380601.79</v>
      </c>
      <c r="P81" s="8">
        <f aca="true" t="shared" si="73" ref="P81:P89">+M81/M$90*P$90</f>
        <v>0</v>
      </c>
      <c r="Q81" s="142">
        <f aca="true" t="shared" si="74" ref="Q81:Q89">+(M81+N81)/(M$90+N$90)*Q$90</f>
        <v>0</v>
      </c>
      <c r="R81" s="63">
        <f>'All A - ESITO 2010 comp reg'!P81/'All A - ESITO 2010 comp reg'!P$90*'ALL B - ESITO 2010 comp ASL'!R$90</f>
        <v>0</v>
      </c>
      <c r="S81" s="8">
        <f t="shared" si="66"/>
        <v>0</v>
      </c>
      <c r="T81" s="8">
        <f t="shared" si="67"/>
        <v>0</v>
      </c>
      <c r="U81" s="88">
        <f t="shared" si="68"/>
        <v>0</v>
      </c>
      <c r="V81" s="114" t="str">
        <f t="shared" si="69"/>
        <v>      n.s.</v>
      </c>
      <c r="W81" s="8">
        <f t="shared" si="70"/>
        <v>0</v>
      </c>
      <c r="X81" s="8">
        <f t="shared" si="71"/>
        <v>0</v>
      </c>
      <c r="Y81" s="8"/>
      <c r="Z81" s="8">
        <f t="shared" si="72"/>
        <v>0</v>
      </c>
      <c r="AN81" s="49" t="s">
        <v>133</v>
      </c>
    </row>
    <row r="82" spans="1:26" s="3" customFormat="1" ht="12.75" customHeight="1">
      <c r="A82" s="61">
        <v>150171</v>
      </c>
      <c r="B82" s="32" t="s">
        <v>68</v>
      </c>
      <c r="C82" s="33"/>
      <c r="D82" s="50">
        <v>5404962.87</v>
      </c>
      <c r="E82" s="50"/>
      <c r="F82" s="50"/>
      <c r="G82" s="50"/>
      <c r="H82" s="50"/>
      <c r="I82" s="50"/>
      <c r="J82" s="62"/>
      <c r="K82" s="8">
        <f t="shared" si="64"/>
        <v>5404962.87</v>
      </c>
      <c r="L82" s="8">
        <v>5070000</v>
      </c>
      <c r="M82" s="63">
        <f t="shared" si="65"/>
        <v>334962.8700000001</v>
      </c>
      <c r="N82" s="8"/>
      <c r="O82" s="8"/>
      <c r="P82" s="8">
        <f t="shared" si="73"/>
        <v>24844.177243251193</v>
      </c>
      <c r="Q82" s="142">
        <f t="shared" si="74"/>
        <v>19470.373377410266</v>
      </c>
      <c r="R82" s="63">
        <f>'All A - ESITO 2010 comp reg'!P82/'All A - ESITO 2010 comp reg'!P$90*'ALL B - ESITO 2010 comp ASL'!R$90</f>
        <v>0</v>
      </c>
      <c r="S82" s="8">
        <f t="shared" si="66"/>
        <v>14236.61</v>
      </c>
      <c r="T82" s="8">
        <f t="shared" si="67"/>
        <v>10626.593450662876</v>
      </c>
      <c r="U82" s="88">
        <f t="shared" si="68"/>
        <v>30096.966828073142</v>
      </c>
      <c r="V82" s="114">
        <f t="shared" si="69"/>
        <v>0.08985165080557475</v>
      </c>
      <c r="W82" s="8">
        <f t="shared" si="70"/>
        <v>304865.90317192697</v>
      </c>
      <c r="X82" s="8">
        <f t="shared" si="71"/>
        <v>304865.90317192697</v>
      </c>
      <c r="Y82" s="8"/>
      <c r="Z82" s="8">
        <f t="shared" si="72"/>
        <v>295882.08275674895</v>
      </c>
    </row>
    <row r="83" spans="1:26" s="3" customFormat="1" ht="12.75" customHeight="1">
      <c r="A83" s="61">
        <v>150172</v>
      </c>
      <c r="B83" s="26" t="s">
        <v>88</v>
      </c>
      <c r="C83" s="39"/>
      <c r="D83" s="50">
        <v>549239.31</v>
      </c>
      <c r="E83" s="50"/>
      <c r="F83" s="50"/>
      <c r="G83" s="50">
        <v>69337.86</v>
      </c>
      <c r="H83" s="50">
        <v>4807</v>
      </c>
      <c r="I83" s="50"/>
      <c r="J83" s="62"/>
      <c r="K83" s="8">
        <f t="shared" si="64"/>
        <v>475094.45000000007</v>
      </c>
      <c r="L83" s="8">
        <v>700000</v>
      </c>
      <c r="M83" s="63">
        <f t="shared" si="65"/>
        <v>0</v>
      </c>
      <c r="N83" s="8"/>
      <c r="O83" s="8"/>
      <c r="P83" s="8">
        <f t="shared" si="73"/>
        <v>0</v>
      </c>
      <c r="Q83" s="142">
        <f t="shared" si="74"/>
        <v>0</v>
      </c>
      <c r="R83" s="63">
        <f>'All A - ESITO 2010 comp reg'!P83/'All A - ESITO 2010 comp reg'!P$90*'ALL B - ESITO 2010 comp ASL'!R$90</f>
        <v>0</v>
      </c>
      <c r="S83" s="8">
        <f t="shared" si="66"/>
        <v>0</v>
      </c>
      <c r="T83" s="8">
        <f t="shared" si="67"/>
        <v>0</v>
      </c>
      <c r="U83" s="88">
        <f t="shared" si="68"/>
        <v>0</v>
      </c>
      <c r="V83" s="114" t="str">
        <f t="shared" si="69"/>
        <v>      n.s.</v>
      </c>
      <c r="W83" s="8">
        <f t="shared" si="70"/>
        <v>0</v>
      </c>
      <c r="X83" s="8">
        <f t="shared" si="71"/>
        <v>0</v>
      </c>
      <c r="Y83" s="8"/>
      <c r="Z83" s="8">
        <f t="shared" si="72"/>
        <v>0</v>
      </c>
    </row>
    <row r="84" spans="1:40" s="3" customFormat="1" ht="12.75" customHeight="1">
      <c r="A84" s="61">
        <v>150173</v>
      </c>
      <c r="B84" s="32" t="s">
        <v>70</v>
      </c>
      <c r="C84" s="33"/>
      <c r="D84" s="50">
        <v>13314345.789</v>
      </c>
      <c r="E84" s="50"/>
      <c r="F84" s="50"/>
      <c r="G84" s="50">
        <v>490413.3</v>
      </c>
      <c r="H84" s="50">
        <v>139244.77</v>
      </c>
      <c r="I84" s="50"/>
      <c r="J84" s="92" t="s">
        <v>128</v>
      </c>
      <c r="K84" s="8">
        <f t="shared" si="64"/>
        <v>12684687.719</v>
      </c>
      <c r="L84" s="8">
        <v>13000000</v>
      </c>
      <c r="M84" s="63">
        <f t="shared" si="65"/>
        <v>0</v>
      </c>
      <c r="N84" s="8">
        <f>431667.81-L84+K84</f>
        <v>116355.52900000103</v>
      </c>
      <c r="O84" s="8">
        <f>+L84-K84</f>
        <v>315312.2809999995</v>
      </c>
      <c r="P84" s="8">
        <f t="shared" si="73"/>
        <v>0</v>
      </c>
      <c r="Q84" s="142">
        <f t="shared" si="74"/>
        <v>6763.393190881448</v>
      </c>
      <c r="R84" s="63">
        <f>'All A - ESITO 2010 comp reg'!P84/'All A - ESITO 2010 comp reg'!P$90*'ALL B - ESITO 2010 comp ASL'!R$90</f>
        <v>0</v>
      </c>
      <c r="S84" s="8">
        <f t="shared" si="66"/>
        <v>0</v>
      </c>
      <c r="T84" s="8">
        <f t="shared" si="67"/>
        <v>4178.904281393573</v>
      </c>
      <c r="U84" s="88">
        <f t="shared" si="68"/>
        <v>0</v>
      </c>
      <c r="V84" s="114" t="str">
        <f t="shared" si="69"/>
        <v>      n.s.</v>
      </c>
      <c r="W84" s="8">
        <f t="shared" si="70"/>
        <v>0</v>
      </c>
      <c r="X84" s="8">
        <f t="shared" si="71"/>
        <v>0</v>
      </c>
      <c r="Y84" s="8"/>
      <c r="Z84" s="8">
        <f t="shared" si="72"/>
        <v>116355.52900000103</v>
      </c>
      <c r="AN84" s="49" t="s">
        <v>133</v>
      </c>
    </row>
    <row r="85" spans="1:26" s="3" customFormat="1" ht="12.75" customHeight="1">
      <c r="A85" s="61">
        <v>150175</v>
      </c>
      <c r="B85" s="32" t="s">
        <v>64</v>
      </c>
      <c r="C85" s="33"/>
      <c r="D85" s="50">
        <v>24498391.94</v>
      </c>
      <c r="E85" s="50"/>
      <c r="F85" s="50"/>
      <c r="G85" s="50">
        <v>10807.13</v>
      </c>
      <c r="H85" s="50">
        <v>35839.66</v>
      </c>
      <c r="I85" s="50"/>
      <c r="J85" s="62"/>
      <c r="K85" s="8">
        <f t="shared" si="64"/>
        <v>24451745.150000002</v>
      </c>
      <c r="L85" s="8">
        <v>23900000</v>
      </c>
      <c r="M85" s="63">
        <f t="shared" si="65"/>
        <v>551745.1500000022</v>
      </c>
      <c r="N85" s="8"/>
      <c r="O85" s="8"/>
      <c r="P85" s="8">
        <f t="shared" si="73"/>
        <v>40922.90676785838</v>
      </c>
      <c r="Q85" s="142">
        <f t="shared" si="74"/>
        <v>32071.268316023426</v>
      </c>
      <c r="R85" s="63">
        <f>'All A - ESITO 2010 comp reg'!P85/'All A - ESITO 2010 comp reg'!P$90*'ALL B - ESITO 2010 comp ASL'!R$90</f>
        <v>0</v>
      </c>
      <c r="S85" s="8">
        <f t="shared" si="66"/>
        <v>23450.31</v>
      </c>
      <c r="T85" s="8">
        <f t="shared" si="67"/>
        <v>17503.94395452278</v>
      </c>
      <c r="U85" s="88">
        <f t="shared" si="68"/>
        <v>49575.21227054621</v>
      </c>
      <c r="V85" s="114">
        <f t="shared" si="69"/>
        <v>0.08985165029642038</v>
      </c>
      <c r="W85" s="8">
        <f t="shared" si="70"/>
        <v>502169.937729456</v>
      </c>
      <c r="X85" s="8">
        <f t="shared" si="71"/>
        <v>502169.937729456</v>
      </c>
      <c r="Y85" s="8"/>
      <c r="Z85" s="8">
        <f t="shared" si="72"/>
        <v>487371.93323214387</v>
      </c>
    </row>
    <row r="86" spans="1:40" s="5" customFormat="1" ht="12.75" customHeight="1">
      <c r="A86" s="61">
        <v>150176</v>
      </c>
      <c r="B86" s="32" t="s">
        <v>66</v>
      </c>
      <c r="C86" s="24" t="s">
        <v>106</v>
      </c>
      <c r="D86" s="50">
        <v>8884732.04</v>
      </c>
      <c r="E86" s="50">
        <v>3585065.5</v>
      </c>
      <c r="F86" s="50"/>
      <c r="G86" s="50">
        <v>266195.09</v>
      </c>
      <c r="H86" s="50">
        <v>413651.25</v>
      </c>
      <c r="I86" s="50">
        <v>274322.01</v>
      </c>
      <c r="J86" s="62" t="s">
        <v>126</v>
      </c>
      <c r="K86" s="8">
        <f t="shared" si="64"/>
        <v>11515629.19</v>
      </c>
      <c r="L86" s="8">
        <v>7900000</v>
      </c>
      <c r="M86" s="63">
        <f t="shared" si="65"/>
        <v>3615629.1899999995</v>
      </c>
      <c r="N86" s="8">
        <v>954168.35</v>
      </c>
      <c r="O86" s="8"/>
      <c r="P86" s="8">
        <f t="shared" si="73"/>
        <v>268171.01382679434</v>
      </c>
      <c r="Q86" s="142">
        <f t="shared" si="74"/>
        <v>265628.43924453744</v>
      </c>
      <c r="R86" s="63">
        <f>'All A - ESITO 2010 comp reg'!P86/'All A - ESITO 2010 comp reg'!P$90*'ALL B - ESITO 2010 comp ASL'!R$90</f>
        <v>0</v>
      </c>
      <c r="S86" s="8">
        <f t="shared" si="66"/>
        <v>153671.7</v>
      </c>
      <c r="T86" s="8">
        <f t="shared" si="67"/>
        <v>148973.63564151886</v>
      </c>
      <c r="U86" s="88">
        <f t="shared" si="68"/>
        <v>414602.0748860563</v>
      </c>
      <c r="V86" s="114">
        <f t="shared" si="69"/>
        <v>0.11466941245876389</v>
      </c>
      <c r="W86" s="8">
        <f t="shared" si="70"/>
        <v>3201027.1151139433</v>
      </c>
      <c r="X86" s="8">
        <f t="shared" si="71"/>
        <v>3201027.1151139433</v>
      </c>
      <c r="Y86" s="8"/>
      <c r="Z86" s="8">
        <f t="shared" si="72"/>
        <v>4147954.826173205</v>
      </c>
      <c r="AA86" s="84">
        <f>ROUND((H86+G86+F86)/(D86)*E86,2)</f>
        <v>274323.82</v>
      </c>
      <c r="AB86" s="54">
        <f>+AA86-I86</f>
        <v>1.8099999999976717</v>
      </c>
      <c r="AN86" s="49" t="s">
        <v>133</v>
      </c>
    </row>
    <row r="87" spans="1:40" s="5" customFormat="1" ht="12.75" customHeight="1">
      <c r="A87" s="61">
        <v>150177</v>
      </c>
      <c r="B87" s="41" t="s">
        <v>71</v>
      </c>
      <c r="C87" s="4"/>
      <c r="D87" s="50">
        <v>13636763.71</v>
      </c>
      <c r="E87" s="50"/>
      <c r="F87" s="50"/>
      <c r="G87" s="50">
        <v>227292.53</v>
      </c>
      <c r="H87" s="50">
        <v>143408.01</v>
      </c>
      <c r="I87" s="50"/>
      <c r="J87" s="92" t="s">
        <v>127</v>
      </c>
      <c r="K87" s="8">
        <f t="shared" si="64"/>
        <v>13266063.170000002</v>
      </c>
      <c r="L87" s="8">
        <v>13300000</v>
      </c>
      <c r="M87" s="63">
        <f t="shared" si="65"/>
        <v>0</v>
      </c>
      <c r="N87" s="8">
        <f>200819.13-L87+K87</f>
        <v>166882.3000000026</v>
      </c>
      <c r="O87" s="8">
        <f>+L87-K87</f>
        <v>33936.82999999821</v>
      </c>
      <c r="P87" s="8">
        <f t="shared" si="73"/>
        <v>0</v>
      </c>
      <c r="Q87" s="142">
        <f t="shared" si="74"/>
        <v>9700.360792469455</v>
      </c>
      <c r="R87" s="63">
        <f>'All A - ESITO 2010 comp reg'!P87/'All A - ESITO 2010 comp reg'!P$90*'ALL B - ESITO 2010 comp ASL'!R$90</f>
        <v>0</v>
      </c>
      <c r="S87" s="8">
        <f t="shared" si="66"/>
        <v>0</v>
      </c>
      <c r="T87" s="8">
        <f t="shared" si="67"/>
        <v>5993.57128924068</v>
      </c>
      <c r="U87" s="88">
        <f t="shared" si="68"/>
        <v>0</v>
      </c>
      <c r="V87" s="114" t="str">
        <f t="shared" si="69"/>
        <v>      n.s.</v>
      </c>
      <c r="W87" s="8">
        <f t="shared" si="70"/>
        <v>0</v>
      </c>
      <c r="X87" s="8">
        <f t="shared" si="71"/>
        <v>0</v>
      </c>
      <c r="Y87" s="8"/>
      <c r="Z87" s="8">
        <f t="shared" si="72"/>
        <v>166882.3000000026</v>
      </c>
      <c r="AN87" s="49" t="s">
        <v>133</v>
      </c>
    </row>
    <row r="88" spans="1:26" s="5" customFormat="1" ht="12.75" customHeight="1">
      <c r="A88" s="61">
        <v>150178</v>
      </c>
      <c r="B88" s="42" t="s">
        <v>65</v>
      </c>
      <c r="C88" s="43"/>
      <c r="D88" s="50">
        <v>8072365.57</v>
      </c>
      <c r="E88" s="50"/>
      <c r="F88" s="50"/>
      <c r="G88" s="50"/>
      <c r="H88" s="50"/>
      <c r="I88" s="50"/>
      <c r="J88" s="92"/>
      <c r="K88" s="8">
        <f t="shared" si="64"/>
        <v>8072365.57</v>
      </c>
      <c r="L88" s="9">
        <v>8000000</v>
      </c>
      <c r="M88" s="63">
        <f t="shared" si="65"/>
        <v>72365.5700000003</v>
      </c>
      <c r="N88" s="9"/>
      <c r="O88" s="9"/>
      <c r="P88" s="8">
        <f t="shared" si="73"/>
        <v>5367.350260012127</v>
      </c>
      <c r="Q88" s="142">
        <f t="shared" si="74"/>
        <v>4206.390599558466</v>
      </c>
      <c r="R88" s="63">
        <f>'All A - ESITO 2010 comp reg'!P88/'All A - ESITO 2010 comp reg'!P$90*'ALL B - ESITO 2010 comp ASL'!R$90</f>
        <v>0</v>
      </c>
      <c r="S88" s="8">
        <f t="shared" si="66"/>
        <v>3075.69</v>
      </c>
      <c r="T88" s="8">
        <f t="shared" si="67"/>
        <v>2295.7751600093034</v>
      </c>
      <c r="U88" s="88">
        <f t="shared" si="68"/>
        <v>6502.16575956777</v>
      </c>
      <c r="V88" s="114">
        <f t="shared" si="69"/>
        <v>0.08985164850588122</v>
      </c>
      <c r="W88" s="8">
        <f t="shared" si="70"/>
        <v>65863.40424043253</v>
      </c>
      <c r="X88" s="8">
        <f t="shared" si="71"/>
        <v>65863.40424043253</v>
      </c>
      <c r="Y88" s="9"/>
      <c r="Z88" s="8">
        <f t="shared" si="72"/>
        <v>63922.52973998817</v>
      </c>
    </row>
    <row r="89" spans="1:26" s="3" customFormat="1" ht="12.75" customHeight="1">
      <c r="A89" s="61">
        <v>150420</v>
      </c>
      <c r="B89" s="41" t="s">
        <v>72</v>
      </c>
      <c r="C89" s="4"/>
      <c r="D89" s="50">
        <v>3845564.6</v>
      </c>
      <c r="E89" s="50"/>
      <c r="F89" s="50"/>
      <c r="G89" s="50"/>
      <c r="H89" s="50"/>
      <c r="I89" s="50"/>
      <c r="J89" s="92"/>
      <c r="K89" s="8">
        <f t="shared" si="64"/>
        <v>3845564.6</v>
      </c>
      <c r="L89" s="9">
        <v>3800000</v>
      </c>
      <c r="M89" s="63">
        <f t="shared" si="65"/>
        <v>45564.60000000009</v>
      </c>
      <c r="N89" s="9"/>
      <c r="O89" s="9"/>
      <c r="P89" s="8">
        <f t="shared" si="73"/>
        <v>3379.523821305464</v>
      </c>
      <c r="Q89" s="142">
        <f t="shared" si="74"/>
        <v>2648.531685892079</v>
      </c>
      <c r="R89" s="63">
        <f>'All A - ESITO 2010 comp reg'!P89/'All A - ESITO 2010 comp reg'!P$90*'ALL B - ESITO 2010 comp ASL'!R$90</f>
        <v>0</v>
      </c>
      <c r="S89" s="8">
        <f t="shared" si="66"/>
        <v>1936.59</v>
      </c>
      <c r="T89" s="8">
        <f t="shared" si="67"/>
        <v>1445.5228097648505</v>
      </c>
      <c r="U89" s="88">
        <f t="shared" si="68"/>
        <v>4094.0544956569297</v>
      </c>
      <c r="V89" s="119">
        <f t="shared" si="69"/>
        <v>0.08985165008925616</v>
      </c>
      <c r="W89" s="8">
        <f t="shared" si="70"/>
        <v>41470.545504343165</v>
      </c>
      <c r="X89" s="8">
        <f t="shared" si="71"/>
        <v>41470.545504343165</v>
      </c>
      <c r="Y89" s="9"/>
      <c r="Z89" s="8">
        <f t="shared" si="72"/>
        <v>40248.486178694635</v>
      </c>
    </row>
    <row r="90" spans="1:26" s="3" customFormat="1" ht="15.75" customHeight="1">
      <c r="A90" s="56"/>
      <c r="B90" s="34" t="s">
        <v>14</v>
      </c>
      <c r="C90" s="27"/>
      <c r="D90" s="64">
        <f aca="true" t="shared" si="75" ref="D90:I90">SUM(D80:D89)</f>
        <v>99380230.239</v>
      </c>
      <c r="E90" s="64">
        <f t="shared" si="75"/>
        <v>5089547.16</v>
      </c>
      <c r="F90" s="64">
        <f t="shared" si="75"/>
        <v>0</v>
      </c>
      <c r="G90" s="64">
        <f t="shared" si="75"/>
        <v>1587591.77</v>
      </c>
      <c r="H90" s="64">
        <f t="shared" si="75"/>
        <v>1116409.63</v>
      </c>
      <c r="I90" s="64">
        <f t="shared" si="75"/>
        <v>321607.98</v>
      </c>
      <c r="J90" s="65"/>
      <c r="K90" s="64">
        <f aca="true" t="shared" si="76" ref="K90:Z90">SUM(K80:K89)</f>
        <v>101444168.019</v>
      </c>
      <c r="L90" s="64">
        <f t="shared" si="76"/>
        <v>96970000</v>
      </c>
      <c r="M90" s="64">
        <f t="shared" si="76"/>
        <v>5620922.420000002</v>
      </c>
      <c r="N90" s="64">
        <f t="shared" si="76"/>
        <v>1551369.0490000036</v>
      </c>
      <c r="O90" s="64">
        <f t="shared" si="76"/>
        <v>729850.9009999977</v>
      </c>
      <c r="P90" s="64">
        <f>IF('All A - ESITO 2010 comp reg'!P90&gt;'All A - ESITO 2010 comp reg'!M90,'All A - ESITO 2010 comp reg'!M90,'All A - ESITO 2010 comp reg'!P90)</f>
        <v>416903.4999999983</v>
      </c>
      <c r="Q90" s="64">
        <f>IF('All A - ESITO 2010 comp reg'!P90&gt;('All A - ESITO 2010 comp reg'!M90+'All A - ESITO 2010 comp reg'!N90),('All A - ESITO 2010 comp reg'!M90+'All A - ESITO 2010 comp reg'!N90),'All A - ESITO 2010 comp reg'!P90)</f>
        <v>416903.4999999983</v>
      </c>
      <c r="R90" s="64">
        <f>+'All A - ESITO 2010 comp reg'!P90-'ALL B - ESITO 2010 comp ASL'!P90</f>
        <v>0</v>
      </c>
      <c r="S90" s="64">
        <f t="shared" si="76"/>
        <v>238900.80000000002</v>
      </c>
      <c r="T90" s="64">
        <f t="shared" si="76"/>
        <v>234039.3822641652</v>
      </c>
      <c r="U90" s="95">
        <f t="shared" si="76"/>
        <v>621618.9023206772</v>
      </c>
      <c r="V90" s="120">
        <f t="shared" si="69"/>
        <v>0.11059019425510537</v>
      </c>
      <c r="W90" s="64">
        <f t="shared" si="76"/>
        <v>4999303.517679323</v>
      </c>
      <c r="X90" s="64">
        <f t="shared" si="76"/>
        <v>4999303.517679323</v>
      </c>
      <c r="Y90" s="64">
        <f t="shared" si="76"/>
        <v>0</v>
      </c>
      <c r="Z90" s="64">
        <f t="shared" si="76"/>
        <v>6516487.169000006</v>
      </c>
    </row>
    <row r="91" spans="1:26" s="3" customFormat="1" ht="6" customHeight="1">
      <c r="A91" s="56"/>
      <c r="B91" s="34"/>
      <c r="C91" s="34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99"/>
      <c r="V91" s="121"/>
      <c r="W91" s="105"/>
      <c r="X91" s="105"/>
      <c r="Y91" s="105"/>
      <c r="Z91" s="105"/>
    </row>
    <row r="92" spans="1:27" s="3" customFormat="1" ht="12.75">
      <c r="A92" s="56"/>
      <c r="B92" s="44" t="s">
        <v>73</v>
      </c>
      <c r="C92" s="44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0"/>
      <c r="V92" s="122"/>
      <c r="W92" s="106"/>
      <c r="X92" s="106"/>
      <c r="Y92" s="106"/>
      <c r="Z92" s="106"/>
      <c r="AA92" s="136" t="s">
        <v>154</v>
      </c>
    </row>
    <row r="93" spans="1:27" s="3" customFormat="1" ht="12.75">
      <c r="A93" s="56"/>
      <c r="B93" s="34" t="s">
        <v>74</v>
      </c>
      <c r="C93" s="34"/>
      <c r="D93" s="8">
        <f aca="true" t="shared" si="77" ref="D93:I93">D11</f>
        <v>100583608.28</v>
      </c>
      <c r="E93" s="8">
        <f t="shared" si="77"/>
        <v>1292965.93</v>
      </c>
      <c r="F93" s="8">
        <f t="shared" si="77"/>
        <v>0</v>
      </c>
      <c r="G93" s="8">
        <f t="shared" si="77"/>
        <v>1106924.21</v>
      </c>
      <c r="H93" s="8">
        <f t="shared" si="77"/>
        <v>1960492.33</v>
      </c>
      <c r="I93" s="8">
        <f t="shared" si="77"/>
        <v>16872.02</v>
      </c>
      <c r="J93" s="90"/>
      <c r="K93" s="8">
        <f aca="true" t="shared" si="78" ref="K93:Y93">K11</f>
        <v>98792285.65</v>
      </c>
      <c r="L93" s="8">
        <f t="shared" si="78"/>
        <v>99673000</v>
      </c>
      <c r="M93" s="8">
        <f t="shared" si="78"/>
        <v>2296209.820000007</v>
      </c>
      <c r="N93" s="8">
        <f t="shared" si="78"/>
        <v>0</v>
      </c>
      <c r="O93" s="8">
        <f t="shared" si="78"/>
        <v>0</v>
      </c>
      <c r="P93" s="8">
        <f>P11</f>
        <v>2296209.820000007</v>
      </c>
      <c r="Q93" s="8">
        <f>Q11</f>
        <v>2296209.820000007</v>
      </c>
      <c r="R93" s="8">
        <f t="shared" si="78"/>
        <v>880714.3499999931</v>
      </c>
      <c r="S93" s="8">
        <f t="shared" si="78"/>
        <v>0</v>
      </c>
      <c r="T93" s="8">
        <f t="shared" si="78"/>
        <v>4.181051738438525E-12</v>
      </c>
      <c r="U93" s="88">
        <f t="shared" si="78"/>
        <v>2296209.820000007</v>
      </c>
      <c r="V93" s="114">
        <f t="shared" si="69"/>
        <v>1</v>
      </c>
      <c r="W93" s="8">
        <f t="shared" si="78"/>
        <v>0</v>
      </c>
      <c r="X93" s="8">
        <f t="shared" si="78"/>
        <v>0</v>
      </c>
      <c r="Y93" s="8">
        <f t="shared" si="78"/>
        <v>0</v>
      </c>
      <c r="Z93" s="8">
        <f>Z11</f>
        <v>1.1641532182693481E-10</v>
      </c>
      <c r="AA93" s="135">
        <f>IF((R93-N93)&gt;0,R93-N93,0)</f>
        <v>880714.3499999931</v>
      </c>
    </row>
    <row r="94" spans="1:27" s="3" customFormat="1" ht="12.75">
      <c r="A94" s="56"/>
      <c r="B94" s="34" t="s">
        <v>75</v>
      </c>
      <c r="C94" s="34"/>
      <c r="D94" s="107">
        <f aca="true" t="shared" si="79" ref="D94:I94">D19</f>
        <v>37929128.17</v>
      </c>
      <c r="E94" s="107">
        <f t="shared" si="79"/>
        <v>3333263.88</v>
      </c>
      <c r="F94" s="107">
        <f t="shared" si="79"/>
        <v>0</v>
      </c>
      <c r="G94" s="107">
        <f t="shared" si="79"/>
        <v>453346.0958</v>
      </c>
      <c r="H94" s="107">
        <f t="shared" si="79"/>
        <v>483151.20180000004</v>
      </c>
      <c r="I94" s="107">
        <f t="shared" si="79"/>
        <v>123464.49</v>
      </c>
      <c r="J94" s="106"/>
      <c r="K94" s="107">
        <f aca="true" t="shared" si="80" ref="K94:Y94">K19</f>
        <v>40202430.2624</v>
      </c>
      <c r="L94" s="107">
        <f t="shared" si="80"/>
        <v>39070000</v>
      </c>
      <c r="M94" s="107">
        <f t="shared" si="80"/>
        <v>1253355.0453000013</v>
      </c>
      <c r="N94" s="107">
        <f t="shared" si="80"/>
        <v>0</v>
      </c>
      <c r="O94" s="107">
        <f t="shared" si="80"/>
        <v>0</v>
      </c>
      <c r="P94" s="107">
        <f>P19</f>
        <v>120924.78290000069</v>
      </c>
      <c r="Q94" s="107">
        <f>Q19</f>
        <v>120924.78290000069</v>
      </c>
      <c r="R94" s="107">
        <f t="shared" si="80"/>
        <v>0</v>
      </c>
      <c r="S94" s="107">
        <f t="shared" si="80"/>
        <v>51986.46</v>
      </c>
      <c r="T94" s="107">
        <f t="shared" si="80"/>
        <v>38804.096981540715</v>
      </c>
      <c r="U94" s="101">
        <f t="shared" si="80"/>
        <v>159728.87988154142</v>
      </c>
      <c r="V94" s="114">
        <f t="shared" si="69"/>
        <v>0.12744104751523855</v>
      </c>
      <c r="W94" s="107">
        <f t="shared" si="80"/>
        <v>1093626.1654184598</v>
      </c>
      <c r="X94" s="107">
        <f t="shared" si="80"/>
        <v>1093626.1654184598</v>
      </c>
      <c r="Y94" s="107">
        <f t="shared" si="80"/>
        <v>0</v>
      </c>
      <c r="Z94" s="107">
        <f>Z19</f>
        <v>1080443.8024000004</v>
      </c>
      <c r="AA94" s="135">
        <f aca="true" t="shared" si="81" ref="AA94:AA99">IF((R94-N94)&gt;0,R94-N94,0)</f>
        <v>0</v>
      </c>
    </row>
    <row r="95" spans="1:27" s="3" customFormat="1" ht="12.75">
      <c r="A95" s="56"/>
      <c r="B95" s="34" t="s">
        <v>76</v>
      </c>
      <c r="C95" s="34"/>
      <c r="D95" s="107">
        <f aca="true" t="shared" si="82" ref="D95:I95">D35</f>
        <v>126437167.64999999</v>
      </c>
      <c r="E95" s="107">
        <f t="shared" si="82"/>
        <v>10266908.889999999</v>
      </c>
      <c r="F95" s="107">
        <f t="shared" si="82"/>
        <v>355018.85000000003</v>
      </c>
      <c r="G95" s="107">
        <f t="shared" si="82"/>
        <v>2077553.26</v>
      </c>
      <c r="H95" s="107">
        <f t="shared" si="82"/>
        <v>2836114.5599999996</v>
      </c>
      <c r="I95" s="107">
        <f t="shared" si="82"/>
        <v>731798.12</v>
      </c>
      <c r="J95" s="106"/>
      <c r="K95" s="107">
        <f aca="true" t="shared" si="83" ref="K95:Y95">K35</f>
        <v>130703591.75</v>
      </c>
      <c r="L95" s="107">
        <f t="shared" si="83"/>
        <v>120200000</v>
      </c>
      <c r="M95" s="107">
        <f t="shared" si="83"/>
        <v>11959845.230000004</v>
      </c>
      <c r="N95" s="107">
        <f t="shared" si="83"/>
        <v>0</v>
      </c>
      <c r="O95" s="107">
        <f t="shared" si="83"/>
        <v>0</v>
      </c>
      <c r="P95" s="107">
        <f>P35</f>
        <v>1456253.4800000018</v>
      </c>
      <c r="Q95" s="107">
        <f>Q35</f>
        <v>1456253.4800000018</v>
      </c>
      <c r="R95" s="107">
        <f t="shared" si="83"/>
        <v>0</v>
      </c>
      <c r="S95" s="107">
        <f t="shared" si="83"/>
        <v>482188.19</v>
      </c>
      <c r="T95" s="107">
        <f t="shared" si="83"/>
        <v>359918.3176113309</v>
      </c>
      <c r="U95" s="101">
        <f t="shared" si="83"/>
        <v>1816171.7976113327</v>
      </c>
      <c r="V95" s="114">
        <f t="shared" si="69"/>
        <v>0.1518557943421925</v>
      </c>
      <c r="W95" s="107">
        <f t="shared" si="83"/>
        <v>10143673.43238867</v>
      </c>
      <c r="X95" s="107">
        <f t="shared" si="83"/>
        <v>10143673.43238867</v>
      </c>
      <c r="Y95" s="107">
        <f t="shared" si="83"/>
        <v>0</v>
      </c>
      <c r="Z95" s="107">
        <f>Z35</f>
        <v>10021403.56</v>
      </c>
      <c r="AA95" s="135">
        <f t="shared" si="81"/>
        <v>0</v>
      </c>
    </row>
    <row r="96" spans="1:27" s="3" customFormat="1" ht="12.75" customHeight="1">
      <c r="A96" s="56"/>
      <c r="B96" s="34" t="s">
        <v>77</v>
      </c>
      <c r="C96" s="34"/>
      <c r="D96" s="107">
        <f aca="true" t="shared" si="84" ref="D96:I96">D54</f>
        <v>138576714.36999997</v>
      </c>
      <c r="E96" s="107">
        <f t="shared" si="84"/>
        <v>3375454.94</v>
      </c>
      <c r="F96" s="107">
        <f t="shared" si="84"/>
        <v>433919.5200000002</v>
      </c>
      <c r="G96" s="107">
        <f t="shared" si="84"/>
        <v>759576.3980000002</v>
      </c>
      <c r="H96" s="107">
        <f t="shared" si="84"/>
        <v>2729186.6000000006</v>
      </c>
      <c r="I96" s="107">
        <f t="shared" si="84"/>
        <v>217611.13000000006</v>
      </c>
      <c r="J96" s="106"/>
      <c r="K96" s="107">
        <f aca="true" t="shared" si="85" ref="K96:Y96">K54</f>
        <v>137811875.662</v>
      </c>
      <c r="L96" s="107">
        <f t="shared" si="85"/>
        <v>138250000</v>
      </c>
      <c r="M96" s="107">
        <f t="shared" si="85"/>
        <v>3682452.6740000015</v>
      </c>
      <c r="N96" s="107">
        <f t="shared" si="85"/>
        <v>1208772.84</v>
      </c>
      <c r="O96" s="107">
        <f t="shared" si="85"/>
        <v>279155.89</v>
      </c>
      <c r="P96" s="107">
        <f>P54</f>
        <v>3682452.6740000015</v>
      </c>
      <c r="Q96" s="107">
        <f>Q54</f>
        <v>3841421.122000001</v>
      </c>
      <c r="R96" s="107">
        <f t="shared" si="85"/>
        <v>158968.4479999994</v>
      </c>
      <c r="S96" s="107">
        <f t="shared" si="85"/>
        <v>0</v>
      </c>
      <c r="T96" s="107">
        <f t="shared" si="85"/>
        <v>43413.02935684495</v>
      </c>
      <c r="U96" s="101">
        <f t="shared" si="85"/>
        <v>2894729.8516186527</v>
      </c>
      <c r="V96" s="114">
        <f t="shared" si="69"/>
        <v>0.7860874552596223</v>
      </c>
      <c r="W96" s="107">
        <f t="shared" si="85"/>
        <v>787722.8223813493</v>
      </c>
      <c r="X96" s="107">
        <f t="shared" si="85"/>
        <v>787722.8223813493</v>
      </c>
      <c r="Y96" s="107">
        <f t="shared" si="85"/>
        <v>2777472.37</v>
      </c>
      <c r="Z96" s="107">
        <f>Z54</f>
        <v>1208772.84</v>
      </c>
      <c r="AA96" s="135">
        <f t="shared" si="81"/>
        <v>0</v>
      </c>
    </row>
    <row r="97" spans="1:27" s="3" customFormat="1" ht="12.75">
      <c r="A97" s="56"/>
      <c r="B97" s="34" t="s">
        <v>78</v>
      </c>
      <c r="C97" s="34"/>
      <c r="D97" s="107">
        <f aca="true" t="shared" si="86" ref="D97:I97">D61</f>
        <v>55017599.81</v>
      </c>
      <c r="E97" s="107">
        <f t="shared" si="86"/>
        <v>707744.72368</v>
      </c>
      <c r="F97" s="107">
        <f t="shared" si="86"/>
        <v>150821.71</v>
      </c>
      <c r="G97" s="107">
        <f t="shared" si="86"/>
        <v>572593.38</v>
      </c>
      <c r="H97" s="107">
        <f t="shared" si="86"/>
        <v>643518.2899999999</v>
      </c>
      <c r="I97" s="107">
        <f t="shared" si="86"/>
        <v>59405.27</v>
      </c>
      <c r="J97" s="106"/>
      <c r="K97" s="107">
        <f aca="true" t="shared" si="87" ref="K97:Y97">K61</f>
        <v>54299005.88368</v>
      </c>
      <c r="L97" s="107">
        <f t="shared" si="87"/>
        <v>52800000</v>
      </c>
      <c r="M97" s="107">
        <f t="shared" si="87"/>
        <v>1838044.9836799982</v>
      </c>
      <c r="N97" s="107">
        <f t="shared" si="87"/>
        <v>135634.64</v>
      </c>
      <c r="O97" s="107">
        <f t="shared" si="87"/>
        <v>65358.41</v>
      </c>
      <c r="P97" s="107">
        <f>P61</f>
        <v>273680.68999999773</v>
      </c>
      <c r="Q97" s="107">
        <f>Q61</f>
        <v>273680.68999999773</v>
      </c>
      <c r="R97" s="107">
        <f t="shared" si="87"/>
        <v>0</v>
      </c>
      <c r="S97" s="107">
        <f t="shared" si="87"/>
        <v>71815.23</v>
      </c>
      <c r="T97" s="107">
        <f t="shared" si="87"/>
        <v>58476.15415167368</v>
      </c>
      <c r="U97" s="101">
        <f t="shared" si="87"/>
        <v>316969.7640176007</v>
      </c>
      <c r="V97" s="114">
        <f t="shared" si="69"/>
        <v>0.17244940511901247</v>
      </c>
      <c r="W97" s="107">
        <f t="shared" si="87"/>
        <v>1521075.2196623974</v>
      </c>
      <c r="X97" s="107">
        <f t="shared" si="87"/>
        <v>1521075.2196623974</v>
      </c>
      <c r="Y97" s="107">
        <f t="shared" si="87"/>
        <v>0</v>
      </c>
      <c r="Z97" s="107">
        <f>Z61</f>
        <v>1628183.7036800005</v>
      </c>
      <c r="AA97" s="135">
        <f t="shared" si="81"/>
        <v>0</v>
      </c>
    </row>
    <row r="98" spans="1:27" s="3" customFormat="1" ht="12.75">
      <c r="A98" s="56"/>
      <c r="B98" s="34" t="s">
        <v>79</v>
      </c>
      <c r="C98" s="34"/>
      <c r="D98" s="107">
        <f aca="true" t="shared" si="88" ref="D98:I98">D77</f>
        <v>103646165.72999999</v>
      </c>
      <c r="E98" s="107">
        <f t="shared" si="88"/>
        <v>4892498.529999999</v>
      </c>
      <c r="F98" s="107">
        <f t="shared" si="88"/>
        <v>0</v>
      </c>
      <c r="G98" s="107">
        <f t="shared" si="88"/>
        <v>875120.1499999999</v>
      </c>
      <c r="H98" s="107">
        <f t="shared" si="88"/>
        <v>2640192.8199999994</v>
      </c>
      <c r="I98" s="107">
        <f t="shared" si="88"/>
        <v>201925.37</v>
      </c>
      <c r="J98" s="106"/>
      <c r="K98" s="107">
        <f aca="true" t="shared" si="89" ref="K98:Y98">K77</f>
        <v>104821425.91999999</v>
      </c>
      <c r="L98" s="107">
        <f t="shared" si="89"/>
        <v>100750000</v>
      </c>
      <c r="M98" s="107">
        <f t="shared" si="89"/>
        <v>6251052.130000004</v>
      </c>
      <c r="N98" s="107">
        <f t="shared" si="89"/>
        <v>18522.840000000317</v>
      </c>
      <c r="O98" s="107">
        <f t="shared" si="89"/>
        <v>171766.0700000003</v>
      </c>
      <c r="P98" s="107">
        <f>P77</f>
        <v>2007860.1399999997</v>
      </c>
      <c r="Q98" s="107">
        <f>Q77</f>
        <v>2007860.1399999997</v>
      </c>
      <c r="R98" s="107">
        <f t="shared" si="89"/>
        <v>0</v>
      </c>
      <c r="S98" s="107">
        <f t="shared" si="89"/>
        <v>194792.14</v>
      </c>
      <c r="T98" s="107">
        <f t="shared" si="89"/>
        <v>146063.3696344377</v>
      </c>
      <c r="U98" s="101">
        <f t="shared" si="89"/>
        <v>2147326.2380926474</v>
      </c>
      <c r="V98" s="114">
        <f t="shared" si="69"/>
        <v>0.34351437061086326</v>
      </c>
      <c r="W98" s="107">
        <f t="shared" si="89"/>
        <v>4103725.8919073567</v>
      </c>
      <c r="X98" s="107">
        <f t="shared" si="89"/>
        <v>4103725.8919073567</v>
      </c>
      <c r="Y98" s="107">
        <f t="shared" si="89"/>
        <v>0</v>
      </c>
      <c r="Z98" s="107">
        <f>Z77</f>
        <v>4066922.690000005</v>
      </c>
      <c r="AA98" s="135">
        <f t="shared" si="81"/>
        <v>0</v>
      </c>
    </row>
    <row r="99" spans="1:27" s="3" customFormat="1" ht="12.75" customHeight="1">
      <c r="A99" s="56"/>
      <c r="B99" s="45" t="s">
        <v>80</v>
      </c>
      <c r="C99" s="34"/>
      <c r="D99" s="9">
        <f aca="true" t="shared" si="90" ref="D99:I99">D90</f>
        <v>99380230.239</v>
      </c>
      <c r="E99" s="9">
        <f t="shared" si="90"/>
        <v>5089547.16</v>
      </c>
      <c r="F99" s="9">
        <f t="shared" si="90"/>
        <v>0</v>
      </c>
      <c r="G99" s="9">
        <f t="shared" si="90"/>
        <v>1587591.77</v>
      </c>
      <c r="H99" s="9">
        <f t="shared" si="90"/>
        <v>1116409.63</v>
      </c>
      <c r="I99" s="9">
        <f t="shared" si="90"/>
        <v>321607.98</v>
      </c>
      <c r="J99" s="108"/>
      <c r="K99" s="9">
        <f aca="true" t="shared" si="91" ref="K99:Y99">K90</f>
        <v>101444168.019</v>
      </c>
      <c r="L99" s="9">
        <f t="shared" si="91"/>
        <v>96970000</v>
      </c>
      <c r="M99" s="9">
        <f t="shared" si="91"/>
        <v>5620922.420000002</v>
      </c>
      <c r="N99" s="9">
        <f t="shared" si="91"/>
        <v>1551369.0490000036</v>
      </c>
      <c r="O99" s="9">
        <f t="shared" si="91"/>
        <v>729850.9009999977</v>
      </c>
      <c r="P99" s="9">
        <f>P90</f>
        <v>416903.4999999983</v>
      </c>
      <c r="Q99" s="9">
        <f>Q90</f>
        <v>416903.4999999983</v>
      </c>
      <c r="R99" s="9">
        <f t="shared" si="91"/>
        <v>0</v>
      </c>
      <c r="S99" s="9">
        <f t="shared" si="91"/>
        <v>238900.80000000002</v>
      </c>
      <c r="T99" s="9">
        <f t="shared" si="91"/>
        <v>234039.3822641652</v>
      </c>
      <c r="U99" s="102">
        <f t="shared" si="91"/>
        <v>621618.9023206772</v>
      </c>
      <c r="V99" s="119">
        <f t="shared" si="69"/>
        <v>0.11059019425510537</v>
      </c>
      <c r="W99" s="9">
        <f t="shared" si="91"/>
        <v>4999303.517679323</v>
      </c>
      <c r="X99" s="9">
        <f t="shared" si="91"/>
        <v>4999303.517679323</v>
      </c>
      <c r="Y99" s="9">
        <f t="shared" si="91"/>
        <v>0</v>
      </c>
      <c r="Z99" s="9">
        <f>Z90</f>
        <v>6516487.169000006</v>
      </c>
      <c r="AA99" s="135">
        <f t="shared" si="81"/>
        <v>0</v>
      </c>
    </row>
    <row r="100" spans="1:27" ht="21.75" customHeight="1">
      <c r="A100" s="109"/>
      <c r="B100" s="46" t="s">
        <v>81</v>
      </c>
      <c r="C100" s="47"/>
      <c r="D100" s="110">
        <f aca="true" t="shared" si="92" ref="D100:I100">D93+D94+D95+D96+D97+D98+D99</f>
        <v>661570614.2489998</v>
      </c>
      <c r="E100" s="110">
        <f t="shared" si="92"/>
        <v>28958384.05368</v>
      </c>
      <c r="F100" s="110">
        <f t="shared" si="92"/>
        <v>939760.0800000002</v>
      </c>
      <c r="G100" s="110">
        <f t="shared" si="92"/>
        <v>7432705.263799999</v>
      </c>
      <c r="H100" s="110">
        <f t="shared" si="92"/>
        <v>12409065.431799997</v>
      </c>
      <c r="I100" s="110">
        <f t="shared" si="92"/>
        <v>1672684.38</v>
      </c>
      <c r="J100" s="111"/>
      <c r="K100" s="110">
        <f aca="true" t="shared" si="93" ref="K100:Z100">K93+K94+K95+K96+K97+K98+K99</f>
        <v>668074783.14708</v>
      </c>
      <c r="L100" s="110">
        <f t="shared" si="93"/>
        <v>647713000</v>
      </c>
      <c r="M100" s="110">
        <f t="shared" si="93"/>
        <v>32901882.302980017</v>
      </c>
      <c r="N100" s="110">
        <f t="shared" si="93"/>
        <v>2914299.3690000037</v>
      </c>
      <c r="O100" s="110">
        <f t="shared" si="93"/>
        <v>1246131.270999998</v>
      </c>
      <c r="P100" s="110">
        <f t="shared" si="93"/>
        <v>10254285.086900005</v>
      </c>
      <c r="Q100" s="110">
        <f t="shared" si="93"/>
        <v>10413253.534900006</v>
      </c>
      <c r="R100" s="110">
        <f t="shared" si="93"/>
        <v>1039682.7979999925</v>
      </c>
      <c r="S100" s="110">
        <f t="shared" si="93"/>
        <v>1039682.8200000001</v>
      </c>
      <c r="T100" s="110">
        <f t="shared" si="93"/>
        <v>880714.3499999931</v>
      </c>
      <c r="U100" s="103">
        <f t="shared" si="93"/>
        <v>10252755.253542459</v>
      </c>
      <c r="V100" s="120">
        <f t="shared" si="69"/>
        <v>0.3116160698384675</v>
      </c>
      <c r="W100" s="110">
        <f t="shared" si="93"/>
        <v>22649127.049437556</v>
      </c>
      <c r="X100" s="110">
        <f t="shared" si="93"/>
        <v>22649127.049437556</v>
      </c>
      <c r="Y100" s="110">
        <f t="shared" si="93"/>
        <v>2777472.37</v>
      </c>
      <c r="Z100" s="110">
        <f t="shared" si="93"/>
        <v>24522213.765080012</v>
      </c>
      <c r="AA100" s="87">
        <f>SUM(AA93:AA99)</f>
        <v>880714.3499999931</v>
      </c>
    </row>
    <row r="101" spans="1:26" ht="12.75">
      <c r="A101" s="112"/>
      <c r="J101" s="54"/>
      <c r="M101" s="6"/>
      <c r="N101" s="6"/>
      <c r="O101" s="6"/>
      <c r="P101" s="6"/>
      <c r="Q101" s="6"/>
      <c r="R101" s="6"/>
      <c r="S101" s="6"/>
      <c r="T101" s="6"/>
      <c r="U101" s="6">
        <f>+T100-U100</f>
        <v>-9372040.903542466</v>
      </c>
      <c r="V101" s="6"/>
      <c r="W101" s="85" t="s">
        <v>113</v>
      </c>
      <c r="X101" s="86">
        <f>+K100-X100-L100+O100+U101+P100+S100-T100</f>
        <v>0.021999965189024806</v>
      </c>
      <c r="Z101" s="140">
        <f>+M100+N100-P100-S100-Z100</f>
        <v>0</v>
      </c>
    </row>
    <row r="102" spans="1:26" ht="12.75">
      <c r="A102" s="112"/>
      <c r="J102" s="54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Z102" s="49"/>
    </row>
    <row r="103" spans="1:26" ht="12.75">
      <c r="A103" s="11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Z103" s="49"/>
    </row>
    <row r="104" spans="1:26" ht="12.75">
      <c r="A104" s="112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Z104" s="49"/>
    </row>
    <row r="105" spans="1:26" ht="12.75">
      <c r="A105" s="112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Z105" s="49"/>
    </row>
    <row r="106" spans="1:26" ht="12.75">
      <c r="A106" s="112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Z106" s="49"/>
    </row>
    <row r="107" spans="1:23" ht="12.75">
      <c r="A107" s="112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2.75">
      <c r="A108" s="112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2.75">
      <c r="A109" s="11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3:23" ht="12.75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3:23" ht="12.75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3:23" ht="12.75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3:23" ht="12.75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3:23" ht="12.75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3:23" ht="12.75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3:23" ht="12.75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3:23" ht="12.75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3:23" ht="12.75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3:23" ht="12.75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3:23" ht="12.75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3:23" ht="12.75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</sheetData>
  <sheetProtection/>
  <printOptions gridLines="1" horizontalCentered="1" verticalCentered="1"/>
  <pageMargins left="0.3937007874015748" right="0" top="0.4330708661417323" bottom="0.3937007874015748" header="0.1968503937007874" footer="0.1968503937007874"/>
  <pageSetup fitToHeight="2" fitToWidth="2" horizontalDpi="300" verticalDpi="300" orientation="landscape" paperSize="9" scale="59" r:id="rId3"/>
  <headerFooter alignWithMargins="0">
    <oddHeader>&amp;L&amp;18Case di Cura: fatturato 2010 liquidabile dopo i controlli e compensazione economie sui tetti di spesa prima a livello di ASL e poi di Regione&amp;R&amp;22All. B</oddHeader>
    <oddFooter>&amp;R&amp;P di &amp;N</oddFooter>
  </headerFooter>
  <rowBreaks count="1" manualBreakCount="1">
    <brk id="61" max="21" man="1"/>
  </rowBreaks>
  <colBreaks count="1" manualBreakCount="1">
    <brk id="10" max="9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FW109"/>
  <sheetViews>
    <sheetView zoomScale="75" zoomScaleNormal="75" workbookViewId="0" topLeftCell="A1">
      <pane xSplit="2" ySplit="2" topLeftCell="C5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64" sqref="G64"/>
    </sheetView>
  </sheetViews>
  <sheetFormatPr defaultColWidth="9.140625" defaultRowHeight="12.75"/>
  <cols>
    <col min="1" max="1" width="7.7109375" style="7" customWidth="1"/>
    <col min="2" max="2" width="46.140625" style="2" customWidth="1"/>
    <col min="3" max="3" width="9.00390625" style="2" customWidth="1"/>
    <col min="4" max="4" width="13.8515625" style="6" customWidth="1"/>
    <col min="5" max="7" width="13.7109375" style="6" customWidth="1"/>
    <col min="8" max="10" width="21.7109375" style="6" customWidth="1"/>
    <col min="11" max="11" width="46.140625" style="6" customWidth="1"/>
    <col min="12" max="12" width="6.57421875" style="2" customWidth="1"/>
    <col min="13" max="17" width="11.57421875" style="2" customWidth="1"/>
    <col min="18" max="18" width="20.7109375" style="2" customWidth="1"/>
    <col min="19" max="19" width="23.57421875" style="2" customWidth="1"/>
    <col min="20" max="16384" width="11.57421875" style="2" customWidth="1"/>
  </cols>
  <sheetData>
    <row r="1" spans="1:18" s="1" customFormat="1" ht="30" customHeight="1">
      <c r="A1" s="10"/>
      <c r="B1" s="11" t="s">
        <v>0</v>
      </c>
      <c r="C1" s="12"/>
      <c r="D1" s="13" t="s">
        <v>1</v>
      </c>
      <c r="E1" s="13" t="s">
        <v>2</v>
      </c>
      <c r="F1" s="13" t="s">
        <v>91</v>
      </c>
      <c r="G1" s="13" t="s">
        <v>3</v>
      </c>
      <c r="H1" s="152" t="s">
        <v>4</v>
      </c>
      <c r="I1" s="152" t="s">
        <v>108</v>
      </c>
      <c r="J1" s="152" t="s">
        <v>165</v>
      </c>
      <c r="K1" s="13"/>
      <c r="R1" s="152" t="s">
        <v>108</v>
      </c>
    </row>
    <row r="2" spans="1:18" s="1" customFormat="1" ht="122.25" customHeight="1">
      <c r="A2" s="14" t="s">
        <v>5</v>
      </c>
      <c r="B2" s="52" t="s">
        <v>101</v>
      </c>
      <c r="C2" s="15" t="s">
        <v>152</v>
      </c>
      <c r="D2" s="16" t="s">
        <v>153</v>
      </c>
      <c r="E2" s="18" t="s">
        <v>89</v>
      </c>
      <c r="F2" s="19" t="s">
        <v>98</v>
      </c>
      <c r="G2" s="17" t="s">
        <v>135</v>
      </c>
      <c r="H2" s="151" t="s">
        <v>164</v>
      </c>
      <c r="I2" s="151" t="s">
        <v>169</v>
      </c>
      <c r="J2" s="151" t="s">
        <v>167</v>
      </c>
      <c r="K2" s="53" t="s">
        <v>102</v>
      </c>
      <c r="M2" s="143" t="s">
        <v>160</v>
      </c>
      <c r="N2" s="143" t="s">
        <v>161</v>
      </c>
      <c r="O2" s="143" t="s">
        <v>162</v>
      </c>
      <c r="P2" s="143" t="s">
        <v>163</v>
      </c>
      <c r="Q2" s="143" t="s">
        <v>159</v>
      </c>
      <c r="R2" s="151" t="s">
        <v>168</v>
      </c>
    </row>
    <row r="3" spans="1:11" ht="15.75" customHeight="1">
      <c r="A3" s="20" t="s">
        <v>6</v>
      </c>
      <c r="B3" s="21"/>
      <c r="C3" s="21"/>
      <c r="D3" s="22"/>
      <c r="E3" s="22"/>
      <c r="F3" s="22"/>
      <c r="G3" s="22"/>
      <c r="H3" s="22"/>
      <c r="I3" s="22"/>
      <c r="J3" s="22"/>
      <c r="K3" s="22"/>
    </row>
    <row r="4" spans="1:19" ht="12.75" customHeight="1">
      <c r="A4" s="61">
        <v>150143</v>
      </c>
      <c r="B4" s="23" t="s">
        <v>8</v>
      </c>
      <c r="C4" s="24" t="s">
        <v>105</v>
      </c>
      <c r="D4" s="132">
        <f>+'All A - ESITO 2010 comp reg'!K4</f>
        <v>8507710.730000002</v>
      </c>
      <c r="E4" s="132">
        <f>+'All A - ESITO 2010 comp reg'!L4</f>
        <v>7800000</v>
      </c>
      <c r="F4" s="132">
        <f>+'All A - ESITO 2010 comp reg'!M4</f>
        <v>707710.7300000023</v>
      </c>
      <c r="G4" s="132">
        <f>+'All A - ESITO 2010 comp reg'!N4</f>
        <v>0</v>
      </c>
      <c r="H4" s="133">
        <f>IF('All A - ESITO 2010 comp reg'!S4&gt;'ALL B - ESITO 2010 comp ASL'!U4,'ALL B - ESITO 2010 comp ASL'!U4,'All A - ESITO 2010 comp reg'!S4)</f>
        <v>223163.44</v>
      </c>
      <c r="I4" s="134">
        <f>+'All A - ESITO 2010 comp reg'!Q4+'All A - ESITO 2010 comp reg'!O4-'All C - comp e acc.to'!H4</f>
        <v>19766.79999999999</v>
      </c>
      <c r="J4" s="134">
        <f>+'ALL B - ESITO 2010 comp ASL'!U4-'All A - ESITO 2010 comp reg'!S4</f>
        <v>484547.2900000023</v>
      </c>
      <c r="K4" s="62"/>
      <c r="M4" s="87">
        <f>+'All A - ESITO 2010 comp reg'!Q4+'All A - ESITO 2010 comp reg'!O4</f>
        <v>242930.24</v>
      </c>
      <c r="N4" s="87">
        <f>+'All A - ESITO 2010 comp reg'!R4+'All A - ESITO 2010 comp reg'!O4</f>
        <v>223163.44</v>
      </c>
      <c r="O4" s="87">
        <f>+'ALL B - ESITO 2010 comp ASL'!P4+'ALL B - ESITO 2010 comp ASL'!S4+'All A - ESITO 2010 comp reg'!O4</f>
        <v>707710.7300000023</v>
      </c>
      <c r="P4" s="87">
        <f>+'ALL B - ESITO 2010 comp ASL'!Q4+'ALL B - ESITO 2010 comp ASL'!T4+'All A - ESITO 2010 comp reg'!O4</f>
        <v>707710.7300000023</v>
      </c>
      <c r="Q4" s="87">
        <f>MAX(M4:P4)</f>
        <v>707710.7300000023</v>
      </c>
      <c r="R4" s="87">
        <f>+Q4-H4</f>
        <v>484547.2900000023</v>
      </c>
      <c r="S4" s="155"/>
    </row>
    <row r="5" spans="1:19" s="3" customFormat="1" ht="12.75" customHeight="1">
      <c r="A5" s="61">
        <v>150144</v>
      </c>
      <c r="B5" s="23" t="s">
        <v>10</v>
      </c>
      <c r="C5" s="24"/>
      <c r="D5" s="132">
        <f>+'All A - ESITO 2010 comp reg'!K5</f>
        <v>1979247.6300000001</v>
      </c>
      <c r="E5" s="132">
        <f>+'All A - ESITO 2010 comp reg'!L5</f>
        <v>1550000</v>
      </c>
      <c r="F5" s="132">
        <f>+'All A - ESITO 2010 comp reg'!M5</f>
        <v>429247.6300000001</v>
      </c>
      <c r="G5" s="132">
        <f>+'All A - ESITO 2010 comp reg'!N5</f>
        <v>0</v>
      </c>
      <c r="H5" s="133">
        <f>IF('All A - ESITO 2010 comp reg'!S5&gt;'ALL B - ESITO 2010 comp ASL'!U5,'ALL B - ESITO 2010 comp ASL'!U5,'All A - ESITO 2010 comp reg'!S5)</f>
        <v>135355.27</v>
      </c>
      <c r="I5" s="134">
        <f>+'All A - ESITO 2010 comp reg'!Q5+'All A - ESITO 2010 comp reg'!O5-'All C - comp e acc.to'!H5</f>
        <v>11989.160000000003</v>
      </c>
      <c r="J5" s="134">
        <f>+'ALL B - ESITO 2010 comp ASL'!U5-'All A - ESITO 2010 comp reg'!S5</f>
        <v>293892.3600000001</v>
      </c>
      <c r="K5" s="62"/>
      <c r="L5" s="2"/>
      <c r="M5" s="87">
        <f>+'All A - ESITO 2010 comp reg'!Q5+'All A - ESITO 2010 comp reg'!O5</f>
        <v>147344.43</v>
      </c>
      <c r="N5" s="87">
        <f>+'All A - ESITO 2010 comp reg'!R5+'All A - ESITO 2010 comp reg'!O5</f>
        <v>135355.27</v>
      </c>
      <c r="O5" s="87">
        <f>+'ALL B - ESITO 2010 comp ASL'!P5+'ALL B - ESITO 2010 comp ASL'!S5+'All A - ESITO 2010 comp reg'!O5</f>
        <v>429247.6300000001</v>
      </c>
      <c r="P5" s="87">
        <f>+'ALL B - ESITO 2010 comp ASL'!Q5+'ALL B - ESITO 2010 comp ASL'!T5+'All A - ESITO 2010 comp reg'!O5</f>
        <v>429247.6300000001</v>
      </c>
      <c r="Q5" s="87">
        <f aca="true" t="shared" si="0" ref="Q5:Q10">MAX(M5:P5)</f>
        <v>429247.6300000001</v>
      </c>
      <c r="R5" s="87">
        <f aca="true" t="shared" si="1" ref="R5:R10">+Q5-H5</f>
        <v>293892.3600000001</v>
      </c>
      <c r="S5" s="87"/>
    </row>
    <row r="6" spans="1:19" s="3" customFormat="1" ht="12.75" customHeight="1">
      <c r="A6" s="61">
        <v>150145</v>
      </c>
      <c r="B6" s="23" t="s">
        <v>13</v>
      </c>
      <c r="C6" s="25"/>
      <c r="D6" s="132">
        <f>+'All A - ESITO 2010 comp reg'!K6</f>
        <v>9821567.120000001</v>
      </c>
      <c r="E6" s="132">
        <f>+'All A - ESITO 2010 comp reg'!L6</f>
        <v>9080000</v>
      </c>
      <c r="F6" s="132">
        <f>+'All A - ESITO 2010 comp reg'!M6</f>
        <v>741567.120000001</v>
      </c>
      <c r="G6" s="132">
        <f>+'All A - ESITO 2010 comp reg'!N6</f>
        <v>0</v>
      </c>
      <c r="H6" s="133">
        <f>IF('All A - ESITO 2010 comp reg'!S6&gt;'ALL B - ESITO 2010 comp ASL'!U6,'ALL B - ESITO 2010 comp ASL'!U6,'All A - ESITO 2010 comp reg'!S6)</f>
        <v>233839.42</v>
      </c>
      <c r="I6" s="134">
        <f>+'All A - ESITO 2010 comp reg'!Q6+'All A - ESITO 2010 comp reg'!O6-'All C - comp e acc.to'!H6</f>
        <v>20712.439999999973</v>
      </c>
      <c r="J6" s="134">
        <f>+'ALL B - ESITO 2010 comp ASL'!U6-'All A - ESITO 2010 comp reg'!S6</f>
        <v>507727.7000000009</v>
      </c>
      <c r="K6" s="62" t="s">
        <v>129</v>
      </c>
      <c r="L6" s="2"/>
      <c r="M6" s="87">
        <f>+'All A - ESITO 2010 comp reg'!Q6+'All A - ESITO 2010 comp reg'!O6</f>
        <v>254551.86</v>
      </c>
      <c r="N6" s="87">
        <f>+'All A - ESITO 2010 comp reg'!R6+'All A - ESITO 2010 comp reg'!O6</f>
        <v>233839.42</v>
      </c>
      <c r="O6" s="87">
        <f>+'ALL B - ESITO 2010 comp ASL'!P6+'ALL B - ESITO 2010 comp ASL'!S6+'All A - ESITO 2010 comp reg'!O6</f>
        <v>741567.1200000009</v>
      </c>
      <c r="P6" s="87">
        <f>+'ALL B - ESITO 2010 comp ASL'!Q6+'ALL B - ESITO 2010 comp ASL'!T6+'All A - ESITO 2010 comp reg'!O6</f>
        <v>741567.1200000009</v>
      </c>
      <c r="Q6" s="87">
        <f t="shared" si="0"/>
        <v>741567.1200000009</v>
      </c>
      <c r="R6" s="87">
        <f t="shared" si="1"/>
        <v>507727.7000000009</v>
      </c>
      <c r="S6" s="87"/>
    </row>
    <row r="7" spans="1:19" s="3" customFormat="1" ht="12.75" customHeight="1">
      <c r="A7" s="61">
        <v>150146</v>
      </c>
      <c r="B7" s="23" t="s">
        <v>11</v>
      </c>
      <c r="C7" s="25"/>
      <c r="D7" s="132">
        <f>+'All A - ESITO 2010 comp reg'!K7</f>
        <v>6424009.98</v>
      </c>
      <c r="E7" s="132">
        <f>+'All A - ESITO 2010 comp reg'!L7</f>
        <v>6700000</v>
      </c>
      <c r="F7" s="132">
        <f>+'All A - ESITO 2010 comp reg'!M7</f>
        <v>0</v>
      </c>
      <c r="G7" s="132">
        <f>+'All A - ESITO 2010 comp reg'!N7</f>
        <v>0</v>
      </c>
      <c r="H7" s="133">
        <f>IF('All A - ESITO 2010 comp reg'!S7&gt;'ALL B - ESITO 2010 comp ASL'!U7,'ALL B - ESITO 2010 comp ASL'!U7,'All A - ESITO 2010 comp reg'!S7)</f>
        <v>0</v>
      </c>
      <c r="I7" s="134">
        <f>+'All A - ESITO 2010 comp reg'!Q7+'All A - ESITO 2010 comp reg'!O7-'All C - comp e acc.to'!H7</f>
        <v>0</v>
      </c>
      <c r="J7" s="134">
        <f>+'ALL B - ESITO 2010 comp ASL'!U7-'All A - ESITO 2010 comp reg'!S7</f>
        <v>0</v>
      </c>
      <c r="K7" s="62"/>
      <c r="L7" s="2"/>
      <c r="M7" s="87">
        <f>+'All A - ESITO 2010 comp reg'!Q7+'All A - ESITO 2010 comp reg'!O7</f>
        <v>0</v>
      </c>
      <c r="N7" s="87">
        <f>+'All A - ESITO 2010 comp reg'!R7+'All A - ESITO 2010 comp reg'!O7</f>
        <v>0</v>
      </c>
      <c r="O7" s="87">
        <f>+'ALL B - ESITO 2010 comp ASL'!P7+'ALL B - ESITO 2010 comp ASL'!S7+'All A - ESITO 2010 comp reg'!O7</f>
        <v>0</v>
      </c>
      <c r="P7" s="87">
        <f>+'ALL B - ESITO 2010 comp ASL'!Q7+'ALL B - ESITO 2010 comp ASL'!T7+'All A - ESITO 2010 comp reg'!O7</f>
        <v>0</v>
      </c>
      <c r="Q7" s="87">
        <f t="shared" si="0"/>
        <v>0</v>
      </c>
      <c r="R7" s="87">
        <f t="shared" si="1"/>
        <v>0</v>
      </c>
      <c r="S7" s="87"/>
    </row>
    <row r="8" spans="1:19" s="3" customFormat="1" ht="12.75" customHeight="1">
      <c r="A8" s="61">
        <v>150147</v>
      </c>
      <c r="B8" s="23" t="s">
        <v>7</v>
      </c>
      <c r="C8" s="25"/>
      <c r="D8" s="132">
        <f>+'All A - ESITO 2010 comp reg'!K8</f>
        <v>6425654.26</v>
      </c>
      <c r="E8" s="132">
        <f>+'All A - ESITO 2010 comp reg'!L8</f>
        <v>7415000</v>
      </c>
      <c r="F8" s="132">
        <f>+'All A - ESITO 2010 comp reg'!M8</f>
        <v>0</v>
      </c>
      <c r="G8" s="132">
        <f>+'All A - ESITO 2010 comp reg'!N8</f>
        <v>0</v>
      </c>
      <c r="H8" s="133">
        <f>IF('All A - ESITO 2010 comp reg'!S8&gt;'ALL B - ESITO 2010 comp ASL'!U8,'ALL B - ESITO 2010 comp ASL'!U8,'All A - ESITO 2010 comp reg'!S8)</f>
        <v>0</v>
      </c>
      <c r="I8" s="134">
        <f>+'All A - ESITO 2010 comp reg'!Q8+'All A - ESITO 2010 comp reg'!O8-'All C - comp e acc.to'!H8</f>
        <v>0</v>
      </c>
      <c r="J8" s="134">
        <f>+'ALL B - ESITO 2010 comp ASL'!U8-'All A - ESITO 2010 comp reg'!S8</f>
        <v>0</v>
      </c>
      <c r="K8" s="62"/>
      <c r="L8" s="2"/>
      <c r="M8" s="87">
        <f>+'All A - ESITO 2010 comp reg'!Q8+'All A - ESITO 2010 comp reg'!O8</f>
        <v>0</v>
      </c>
      <c r="N8" s="87">
        <f>+'All A - ESITO 2010 comp reg'!R8+'All A - ESITO 2010 comp reg'!O8</f>
        <v>0</v>
      </c>
      <c r="O8" s="87">
        <f>+'ALL B - ESITO 2010 comp ASL'!P8+'ALL B - ESITO 2010 comp ASL'!S8+'All A - ESITO 2010 comp reg'!O8</f>
        <v>0</v>
      </c>
      <c r="P8" s="87">
        <f>+'ALL B - ESITO 2010 comp ASL'!Q8+'ALL B - ESITO 2010 comp ASL'!T8+'All A - ESITO 2010 comp reg'!O8</f>
        <v>0</v>
      </c>
      <c r="Q8" s="87">
        <f t="shared" si="0"/>
        <v>0</v>
      </c>
      <c r="R8" s="87">
        <f t="shared" si="1"/>
        <v>0</v>
      </c>
      <c r="S8" s="87"/>
    </row>
    <row r="9" spans="1:19" s="3" customFormat="1" ht="12.75" customHeight="1">
      <c r="A9" s="61">
        <v>150148</v>
      </c>
      <c r="B9" s="23" t="s">
        <v>12</v>
      </c>
      <c r="C9" s="25"/>
      <c r="D9" s="132">
        <f>+'All A - ESITO 2010 comp reg'!K9</f>
        <v>41355684.34</v>
      </c>
      <c r="E9" s="132">
        <f>+'All A - ESITO 2010 comp reg'!L9</f>
        <v>40938000</v>
      </c>
      <c r="F9" s="132">
        <f>+'All A - ESITO 2010 comp reg'!M9</f>
        <v>417684.3400000036</v>
      </c>
      <c r="G9" s="132">
        <f>+'All A - ESITO 2010 comp reg'!N9</f>
        <v>0</v>
      </c>
      <c r="H9" s="133">
        <f>IF('All A - ESITO 2010 comp reg'!S9&gt;'ALL B - ESITO 2010 comp ASL'!U9,'ALL B - ESITO 2010 comp ASL'!U9,'All A - ESITO 2010 comp reg'!S9)</f>
        <v>131709</v>
      </c>
      <c r="I9" s="134">
        <f>+'All A - ESITO 2010 comp reg'!Q9+'All A - ESITO 2010 comp reg'!O9-'All C - comp e acc.to'!H9</f>
        <v>11666.190000000002</v>
      </c>
      <c r="J9" s="134">
        <f>+'ALL B - ESITO 2010 comp ASL'!U9-'All A - ESITO 2010 comp reg'!S9</f>
        <v>285975.3400000036</v>
      </c>
      <c r="K9" s="62"/>
      <c r="L9" s="2"/>
      <c r="M9" s="87">
        <f>+'All A - ESITO 2010 comp reg'!Q9+'All A - ESITO 2010 comp reg'!O9</f>
        <v>143375.19</v>
      </c>
      <c r="N9" s="87">
        <f>+'All A - ESITO 2010 comp reg'!R9+'All A - ESITO 2010 comp reg'!O9</f>
        <v>131709</v>
      </c>
      <c r="O9" s="87">
        <f>+'ALL B - ESITO 2010 comp ASL'!P9+'ALL B - ESITO 2010 comp ASL'!S9+'All A - ESITO 2010 comp reg'!O9</f>
        <v>417684.3400000036</v>
      </c>
      <c r="P9" s="87">
        <f>+'ALL B - ESITO 2010 comp ASL'!Q9+'ALL B - ESITO 2010 comp ASL'!T9+'All A - ESITO 2010 comp reg'!O9</f>
        <v>417684.3400000036</v>
      </c>
      <c r="Q9" s="87">
        <f t="shared" si="0"/>
        <v>417684.3400000036</v>
      </c>
      <c r="R9" s="87">
        <f t="shared" si="1"/>
        <v>285975.3400000036</v>
      </c>
      <c r="S9" s="87"/>
    </row>
    <row r="10" spans="1:19" s="3" customFormat="1" ht="12.75" customHeight="1">
      <c r="A10" s="61">
        <v>150149</v>
      </c>
      <c r="B10" s="23" t="s">
        <v>9</v>
      </c>
      <c r="C10" s="25"/>
      <c r="D10" s="132">
        <f>+'All A - ESITO 2010 comp reg'!K10</f>
        <v>24278411.59</v>
      </c>
      <c r="E10" s="132">
        <f>+'All A - ESITO 2010 comp reg'!L10</f>
        <v>26190000</v>
      </c>
      <c r="F10" s="132">
        <f>+'All A - ESITO 2010 comp reg'!M10</f>
        <v>0</v>
      </c>
      <c r="G10" s="132">
        <f>+'All A - ESITO 2010 comp reg'!N10</f>
        <v>0</v>
      </c>
      <c r="H10" s="133">
        <f>IF('All A - ESITO 2010 comp reg'!S10&gt;'ALL B - ESITO 2010 comp ASL'!U10,'ALL B - ESITO 2010 comp ASL'!U10,'All A - ESITO 2010 comp reg'!S10)</f>
        <v>0</v>
      </c>
      <c r="I10" s="134">
        <f>+'All A - ESITO 2010 comp reg'!Q10+'All A - ESITO 2010 comp reg'!O10-'All C - comp e acc.to'!H10</f>
        <v>0</v>
      </c>
      <c r="J10" s="134">
        <f>+'ALL B - ESITO 2010 comp ASL'!U10-'All A - ESITO 2010 comp reg'!S10</f>
        <v>0</v>
      </c>
      <c r="K10" s="92"/>
      <c r="L10" s="2"/>
      <c r="M10" s="87">
        <f>+'All A - ESITO 2010 comp reg'!Q10+'All A - ESITO 2010 comp reg'!O10</f>
        <v>0</v>
      </c>
      <c r="N10" s="87">
        <f>+'All A - ESITO 2010 comp reg'!R10+'All A - ESITO 2010 comp reg'!O10</f>
        <v>0</v>
      </c>
      <c r="O10" s="87">
        <f>+'ALL B - ESITO 2010 comp ASL'!P10+'ALL B - ESITO 2010 comp ASL'!S10+'All A - ESITO 2010 comp reg'!O10</f>
        <v>0</v>
      </c>
      <c r="P10" s="87">
        <f>+'ALL B - ESITO 2010 comp ASL'!Q10+'ALL B - ESITO 2010 comp ASL'!T10+'All A - ESITO 2010 comp reg'!O10</f>
        <v>0</v>
      </c>
      <c r="Q10" s="87">
        <f t="shared" si="0"/>
        <v>0</v>
      </c>
      <c r="R10" s="87">
        <f t="shared" si="1"/>
        <v>0</v>
      </c>
      <c r="S10" s="87"/>
    </row>
    <row r="11" spans="1:19" s="3" customFormat="1" ht="15.75" customHeight="1">
      <c r="A11" s="56"/>
      <c r="B11" s="26" t="s">
        <v>14</v>
      </c>
      <c r="C11" s="27"/>
      <c r="D11" s="64">
        <f aca="true" t="shared" si="2" ref="D11:J11">SUM(D4:D10)</f>
        <v>98792285.65</v>
      </c>
      <c r="E11" s="64">
        <f t="shared" si="2"/>
        <v>99673000</v>
      </c>
      <c r="F11" s="64">
        <f t="shared" si="2"/>
        <v>2296209.820000007</v>
      </c>
      <c r="G11" s="64">
        <f t="shared" si="2"/>
        <v>0</v>
      </c>
      <c r="H11" s="95">
        <f t="shared" si="2"/>
        <v>724067.13</v>
      </c>
      <c r="I11" s="95">
        <f t="shared" si="2"/>
        <v>64134.58999999997</v>
      </c>
      <c r="J11" s="95">
        <f t="shared" si="2"/>
        <v>1572142.690000007</v>
      </c>
      <c r="K11" s="65"/>
      <c r="L11" s="2"/>
      <c r="S11" s="87"/>
    </row>
    <row r="12" spans="1:19" s="3" customFormat="1" ht="6" customHeight="1">
      <c r="A12" s="29"/>
      <c r="B12" s="28"/>
      <c r="C12" s="29"/>
      <c r="D12" s="48"/>
      <c r="E12" s="48"/>
      <c r="F12" s="48"/>
      <c r="G12" s="48"/>
      <c r="H12" s="48"/>
      <c r="I12" s="48"/>
      <c r="J12" s="48"/>
      <c r="K12" s="48"/>
      <c r="L12" s="2"/>
      <c r="S12" s="87"/>
    </row>
    <row r="13" spans="1:19" s="3" customFormat="1" ht="15.75" customHeight="1">
      <c r="A13" s="30" t="s">
        <v>15</v>
      </c>
      <c r="B13" s="31"/>
      <c r="C13" s="31"/>
      <c r="D13" s="90"/>
      <c r="E13" s="90"/>
      <c r="F13" s="90"/>
      <c r="G13" s="90"/>
      <c r="H13" s="90"/>
      <c r="I13" s="90"/>
      <c r="J13" s="90"/>
      <c r="K13" s="90"/>
      <c r="L13" s="2"/>
      <c r="S13" s="87"/>
    </row>
    <row r="14" spans="1:19" s="3" customFormat="1" ht="12.75" customHeight="1">
      <c r="A14" s="61">
        <v>150033</v>
      </c>
      <c r="B14" s="32" t="s">
        <v>16</v>
      </c>
      <c r="C14" s="24" t="s">
        <v>105</v>
      </c>
      <c r="D14" s="132">
        <f>+'All A - ESITO 2010 comp reg'!K14</f>
        <v>10668745.56</v>
      </c>
      <c r="E14" s="132">
        <f>+'All A - ESITO 2010 comp reg'!L14</f>
        <v>10300000</v>
      </c>
      <c r="F14" s="132">
        <f>+'All A - ESITO 2010 comp reg'!M14</f>
        <v>368745.5600000005</v>
      </c>
      <c r="G14" s="132">
        <f>+'All A - ESITO 2010 comp reg'!N14</f>
        <v>0</v>
      </c>
      <c r="H14" s="133">
        <f>IF('All A - ESITO 2010 comp reg'!S14&gt;'ALL B - ESITO 2010 comp ASL'!U14,'ALL B - ESITO 2010 comp ASL'!U14,'All A - ESITO 2010 comp reg'!S14)</f>
        <v>46993.32040889196</v>
      </c>
      <c r="I14" s="134">
        <f>+'All A - ESITO 2010 comp reg'!Q14+'All A - ESITO 2010 comp reg'!O14-'All C - comp e acc.to'!H14</f>
        <v>79583.03959110804</v>
      </c>
      <c r="J14" s="134">
        <f>+'ALL B - ESITO 2010 comp ASL'!U14-'All A - ESITO 2010 comp reg'!S14</f>
        <v>-69283.74959110805</v>
      </c>
      <c r="K14" s="62" t="s">
        <v>120</v>
      </c>
      <c r="L14" s="2"/>
      <c r="M14" s="87">
        <f>+'All A - ESITO 2010 comp reg'!Q14+'All A - ESITO 2010 comp reg'!O14</f>
        <v>126576.36</v>
      </c>
      <c r="N14" s="87">
        <f>+'All A - ESITO 2010 comp reg'!R14+'All A - ESITO 2010 comp reg'!O14</f>
        <v>116277.07</v>
      </c>
      <c r="O14" s="87">
        <f>+'ALL B - ESITO 2010 comp ASL'!P14+'ALL B - ESITO 2010 comp ASL'!S14+'All A - ESITO 2010 comp reg'!O14</f>
        <v>50871.66176387058</v>
      </c>
      <c r="P14" s="87">
        <f>+'ALL B - ESITO 2010 comp ASL'!Q14+'ALL B - ESITO 2010 comp ASL'!T14+'All A - ESITO 2010 comp reg'!O14</f>
        <v>46993.32040889196</v>
      </c>
      <c r="Q14" s="87">
        <f>MAX(M14:P14)</f>
        <v>126576.36</v>
      </c>
      <c r="R14" s="87">
        <f>+Q14-H14</f>
        <v>79583.03959110804</v>
      </c>
      <c r="S14" s="87"/>
    </row>
    <row r="15" spans="1:19" s="3" customFormat="1" ht="12.75" customHeight="1">
      <c r="A15" s="61">
        <v>150034</v>
      </c>
      <c r="B15" s="32" t="s">
        <v>19</v>
      </c>
      <c r="C15" s="33"/>
      <c r="D15" s="132">
        <f>+'All A - ESITO 2010 comp reg'!K15</f>
        <v>8472895.4281</v>
      </c>
      <c r="E15" s="132">
        <f>+'All A - ESITO 2010 comp reg'!L15</f>
        <v>8500000</v>
      </c>
      <c r="F15" s="132">
        <f>+'All A - ESITO 2010 comp reg'!M15</f>
        <v>0</v>
      </c>
      <c r="G15" s="132">
        <f>+'All A - ESITO 2010 comp reg'!N15</f>
        <v>0</v>
      </c>
      <c r="H15" s="133">
        <f>IF('All A - ESITO 2010 comp reg'!S15&gt;'ALL B - ESITO 2010 comp ASL'!U15,'ALL B - ESITO 2010 comp ASL'!U15,'All A - ESITO 2010 comp reg'!S15)</f>
        <v>0</v>
      </c>
      <c r="I15" s="134">
        <f>+'All A - ESITO 2010 comp reg'!Q15+'All A - ESITO 2010 comp reg'!O15-'All C - comp e acc.to'!H15</f>
        <v>0</v>
      </c>
      <c r="J15" s="134">
        <f>+'ALL B - ESITO 2010 comp ASL'!U15-'All A - ESITO 2010 comp reg'!S15</f>
        <v>0</v>
      </c>
      <c r="K15" s="62"/>
      <c r="L15" s="2"/>
      <c r="M15" s="87">
        <f>+'All A - ESITO 2010 comp reg'!Q15+'All A - ESITO 2010 comp reg'!O15</f>
        <v>0</v>
      </c>
      <c r="N15" s="87">
        <f>+'All A - ESITO 2010 comp reg'!R15+'All A - ESITO 2010 comp reg'!O15</f>
        <v>0</v>
      </c>
      <c r="O15" s="87">
        <f>+'ALL B - ESITO 2010 comp ASL'!P15+'ALL B - ESITO 2010 comp ASL'!S15+'All A - ESITO 2010 comp reg'!O15</f>
        <v>0</v>
      </c>
      <c r="P15" s="87">
        <f>+'ALL B - ESITO 2010 comp ASL'!Q15+'ALL B - ESITO 2010 comp ASL'!T15+'All A - ESITO 2010 comp reg'!O15</f>
        <v>0</v>
      </c>
      <c r="Q15" s="87">
        <f>MAX(M15:P15)</f>
        <v>0</v>
      </c>
      <c r="R15" s="87">
        <f>+Q15-H15</f>
        <v>0</v>
      </c>
      <c r="S15" s="87"/>
    </row>
    <row r="16" spans="1:179" s="4" customFormat="1" ht="12.75" customHeight="1">
      <c r="A16" s="61">
        <v>150035</v>
      </c>
      <c r="B16" s="26" t="s">
        <v>18</v>
      </c>
      <c r="C16" s="24" t="s">
        <v>103</v>
      </c>
      <c r="D16" s="132">
        <f>+'All A - ESITO 2010 comp reg'!K16</f>
        <v>9949559.4853</v>
      </c>
      <c r="E16" s="132">
        <f>+'All A - ESITO 2010 comp reg'!L16</f>
        <v>9600000</v>
      </c>
      <c r="F16" s="132">
        <f>+'All A - ESITO 2010 comp reg'!M16</f>
        <v>349559.48530000076</v>
      </c>
      <c r="G16" s="132">
        <f>+'All A - ESITO 2010 comp reg'!N16</f>
        <v>0</v>
      </c>
      <c r="H16" s="133">
        <f>IF('All A - ESITO 2010 comp reg'!S16&gt;'ALL B - ESITO 2010 comp ASL'!U16,'ALL B - ESITO 2010 comp ASL'!U16,'All A - ESITO 2010 comp reg'!S16)</f>
        <v>44548.227061456695</v>
      </c>
      <c r="I16" s="134">
        <f>+'All A - ESITO 2010 comp reg'!Q16+'All A - ESITO 2010 comp reg'!O16-'All C - comp e acc.to'!H16</f>
        <v>75442.2829385433</v>
      </c>
      <c r="J16" s="134">
        <f>+'ALL B - ESITO 2010 comp ASL'!U16-'All A - ESITO 2010 comp reg'!S16</f>
        <v>-65678.8629385433</v>
      </c>
      <c r="K16" s="62"/>
      <c r="L16" s="2"/>
      <c r="M16" s="87">
        <f>+'All A - ESITO 2010 comp reg'!Q16+'All A - ESITO 2010 comp reg'!O16</f>
        <v>119990.51</v>
      </c>
      <c r="N16" s="87">
        <f>+'All A - ESITO 2010 comp reg'!R16+'All A - ESITO 2010 comp reg'!O16</f>
        <v>110227.09</v>
      </c>
      <c r="O16" s="87">
        <f>+'ALL B - ESITO 2010 comp ASL'!P16+'ALL B - ESITO 2010 comp ASL'!S16+'All A - ESITO 2010 comp reg'!O16</f>
        <v>48224.77261997572</v>
      </c>
      <c r="P16" s="87">
        <f>+'ALL B - ESITO 2010 comp ASL'!Q16+'ALL B - ESITO 2010 comp ASL'!T16+'All A - ESITO 2010 comp reg'!O16</f>
        <v>44548.227061456695</v>
      </c>
      <c r="Q16" s="87">
        <f>MAX(M16:P16)</f>
        <v>119990.51</v>
      </c>
      <c r="R16" s="87">
        <f>+Q16-H16</f>
        <v>75442.2829385433</v>
      </c>
      <c r="S16" s="87"/>
      <c r="FP16" s="3"/>
      <c r="FQ16" s="3"/>
      <c r="FR16" s="3"/>
      <c r="FS16" s="3"/>
      <c r="FT16" s="3"/>
      <c r="FU16" s="3"/>
      <c r="FV16" s="3"/>
      <c r="FW16" s="3"/>
    </row>
    <row r="17" spans="1:19" s="3" customFormat="1" ht="12.75" customHeight="1">
      <c r="A17" s="61">
        <v>150350</v>
      </c>
      <c r="B17" s="32" t="s">
        <v>90</v>
      </c>
      <c r="C17" s="33"/>
      <c r="D17" s="132">
        <f>+'All A - ESITO 2010 comp reg'!K17</f>
        <v>1876179.789</v>
      </c>
      <c r="E17" s="132">
        <f>+'All A - ESITO 2010 comp reg'!L17</f>
        <v>1970000</v>
      </c>
      <c r="F17" s="132">
        <f>+'All A - ESITO 2010 comp reg'!M17</f>
        <v>0</v>
      </c>
      <c r="G17" s="132">
        <f>+'All A - ESITO 2010 comp reg'!N17</f>
        <v>0</v>
      </c>
      <c r="H17" s="133">
        <f>IF('All A - ESITO 2010 comp reg'!S17&gt;'ALL B - ESITO 2010 comp ASL'!U17,'ALL B - ESITO 2010 comp ASL'!U17,'All A - ESITO 2010 comp reg'!S17)</f>
        <v>0</v>
      </c>
      <c r="I17" s="134">
        <f>+'All A - ESITO 2010 comp reg'!Q17+'All A - ESITO 2010 comp reg'!O17-'All C - comp e acc.to'!H17</f>
        <v>0</v>
      </c>
      <c r="J17" s="134">
        <f>+'ALL B - ESITO 2010 comp ASL'!U17-'All A - ESITO 2010 comp reg'!S17</f>
        <v>0</v>
      </c>
      <c r="K17" s="62"/>
      <c r="L17" s="2"/>
      <c r="M17" s="87">
        <f>+'All A - ESITO 2010 comp reg'!Q17+'All A - ESITO 2010 comp reg'!O17</f>
        <v>0</v>
      </c>
      <c r="N17" s="87">
        <f>+'All A - ESITO 2010 comp reg'!R17+'All A - ESITO 2010 comp reg'!O17</f>
        <v>0</v>
      </c>
      <c r="O17" s="87">
        <f>+'ALL B - ESITO 2010 comp ASL'!P17+'ALL B - ESITO 2010 comp ASL'!S17+'All A - ESITO 2010 comp reg'!O17</f>
        <v>0</v>
      </c>
      <c r="P17" s="87">
        <f>+'ALL B - ESITO 2010 comp ASL'!Q17+'ALL B - ESITO 2010 comp ASL'!T17+'All A - ESITO 2010 comp reg'!O17</f>
        <v>0</v>
      </c>
      <c r="Q17" s="87">
        <f>MAX(M17:P17)</f>
        <v>0</v>
      </c>
      <c r="R17" s="87">
        <f>+Q17-H17</f>
        <v>0</v>
      </c>
      <c r="S17" s="87"/>
    </row>
    <row r="18" spans="1:19" s="3" customFormat="1" ht="12.75" customHeight="1">
      <c r="A18" s="61">
        <v>150371</v>
      </c>
      <c r="B18" s="32" t="s">
        <v>17</v>
      </c>
      <c r="C18" s="33"/>
      <c r="D18" s="132">
        <f>+'All A - ESITO 2010 comp reg'!K18</f>
        <v>9235050</v>
      </c>
      <c r="E18" s="132">
        <f>+'All A - ESITO 2010 comp reg'!L18</f>
        <v>8700000</v>
      </c>
      <c r="F18" s="132">
        <f>+'All A - ESITO 2010 comp reg'!M18</f>
        <v>535050</v>
      </c>
      <c r="G18" s="132">
        <f>+'All A - ESITO 2010 comp reg'!N18</f>
        <v>0</v>
      </c>
      <c r="H18" s="133">
        <f>IF('All A - ESITO 2010 comp reg'!S18&gt;'ALL B - ESITO 2010 comp ASL'!U18,'ALL B - ESITO 2010 comp ASL'!U18,'All A - ESITO 2010 comp reg'!S18)</f>
        <v>68187.33241119276</v>
      </c>
      <c r="I18" s="134">
        <f>+'All A - ESITO 2010 comp reg'!Q18+'All A - ESITO 2010 comp reg'!O18-'All C - comp e acc.to'!H18</f>
        <v>115475.03758880723</v>
      </c>
      <c r="J18" s="134">
        <f>+'ALL B - ESITO 2010 comp ASL'!U18-'All A - ESITO 2010 comp reg'!S18</f>
        <v>-100530.74758880722</v>
      </c>
      <c r="K18" s="92"/>
      <c r="L18" s="2"/>
      <c r="M18" s="87">
        <f>+'All A - ESITO 2010 comp reg'!Q18+'All A - ESITO 2010 comp reg'!O18</f>
        <v>183662.37</v>
      </c>
      <c r="N18" s="87">
        <f>+'All A - ESITO 2010 comp reg'!R18+'All A - ESITO 2010 comp reg'!O18</f>
        <v>168718.08</v>
      </c>
      <c r="O18" s="87">
        <f>+'ALL B - ESITO 2010 comp ASL'!P18+'ALL B - ESITO 2010 comp ASL'!S18+'All A - ESITO 2010 comp reg'!O18</f>
        <v>73814.80851615439</v>
      </c>
      <c r="P18" s="87">
        <f>+'ALL B - ESITO 2010 comp ASL'!Q18+'ALL B - ESITO 2010 comp ASL'!T18+'All A - ESITO 2010 comp reg'!O18</f>
        <v>68187.33241119276</v>
      </c>
      <c r="Q18" s="87">
        <f>MAX(M18:P18)</f>
        <v>183662.37</v>
      </c>
      <c r="R18" s="87">
        <f>+Q18-H18</f>
        <v>115475.03758880723</v>
      </c>
      <c r="S18" s="87"/>
    </row>
    <row r="19" spans="1:19" s="3" customFormat="1" ht="15.75" customHeight="1">
      <c r="A19" s="56"/>
      <c r="B19" s="26" t="s">
        <v>14</v>
      </c>
      <c r="C19" s="27"/>
      <c r="D19" s="64">
        <f aca="true" t="shared" si="3" ref="D19:J19">SUM(D14:D18)</f>
        <v>40202430.2624</v>
      </c>
      <c r="E19" s="64">
        <f t="shared" si="3"/>
        <v>39070000</v>
      </c>
      <c r="F19" s="64">
        <f t="shared" si="3"/>
        <v>1253355.0453000013</v>
      </c>
      <c r="G19" s="64">
        <f t="shared" si="3"/>
        <v>0</v>
      </c>
      <c r="H19" s="95">
        <f t="shared" si="3"/>
        <v>159728.87988154142</v>
      </c>
      <c r="I19" s="95">
        <f t="shared" si="3"/>
        <v>270500.3601184586</v>
      </c>
      <c r="J19" s="95">
        <f t="shared" si="3"/>
        <v>-235493.36011845857</v>
      </c>
      <c r="K19" s="65"/>
      <c r="L19" s="2"/>
      <c r="S19" s="87"/>
    </row>
    <row r="20" spans="1:19" s="3" customFormat="1" ht="6" customHeight="1">
      <c r="A20" s="56"/>
      <c r="B20" s="26"/>
      <c r="C20" s="34"/>
      <c r="D20" s="104"/>
      <c r="E20" s="104"/>
      <c r="F20" s="104"/>
      <c r="G20" s="104"/>
      <c r="H20" s="104"/>
      <c r="I20" s="104"/>
      <c r="J20" s="104"/>
      <c r="K20" s="104"/>
      <c r="L20" s="2"/>
      <c r="S20" s="87"/>
    </row>
    <row r="21" spans="1:19" s="3" customFormat="1" ht="15.75" customHeight="1">
      <c r="A21" s="30" t="s">
        <v>20</v>
      </c>
      <c r="B21" s="31"/>
      <c r="C21" s="31"/>
      <c r="D21" s="90"/>
      <c r="E21" s="90"/>
      <c r="F21" s="90"/>
      <c r="G21" s="90"/>
      <c r="H21" s="90"/>
      <c r="I21" s="90"/>
      <c r="J21" s="90"/>
      <c r="K21" s="90"/>
      <c r="L21" s="2"/>
      <c r="S21" s="87"/>
    </row>
    <row r="22" spans="1:19" s="3" customFormat="1" ht="12.75" customHeight="1">
      <c r="A22" s="61">
        <v>150014</v>
      </c>
      <c r="B22" s="32" t="s">
        <v>27</v>
      </c>
      <c r="C22" s="24" t="s">
        <v>103</v>
      </c>
      <c r="D22" s="132">
        <f>+'All A - ESITO 2010 comp reg'!K22</f>
        <v>5059004.779999999</v>
      </c>
      <c r="E22" s="132">
        <f>+'All A - ESITO 2010 comp reg'!L22</f>
        <v>4000000</v>
      </c>
      <c r="F22" s="132">
        <f>+'All A - ESITO 2010 comp reg'!M22</f>
        <v>1059004.7799999993</v>
      </c>
      <c r="G22" s="132">
        <f>+'All A - ESITO 2010 comp reg'!N22</f>
        <v>0</v>
      </c>
      <c r="H22" s="133">
        <f>IF('All A - ESITO 2010 comp reg'!S22&gt;'ALL B - ESITO 2010 comp ASL'!U22,'ALL B - ESITO 2010 comp ASL'!U22,'All A - ESITO 2010 comp reg'!S22)</f>
        <v>160816.01211798444</v>
      </c>
      <c r="I22" s="134">
        <f>+'All A - ESITO 2010 comp reg'!Q22+'All A - ESITO 2010 comp reg'!O22-'All C - comp e acc.to'!H22</f>
        <v>202700.14788201553</v>
      </c>
      <c r="J22" s="134">
        <f>+'ALL B - ESITO 2010 comp ASL'!U22-'All A - ESITO 2010 comp reg'!S22</f>
        <v>-173121.47788201555</v>
      </c>
      <c r="K22" s="62"/>
      <c r="L22" s="2"/>
      <c r="M22" s="87">
        <f>+'All A - ESITO 2010 comp reg'!Q22+'All A - ESITO 2010 comp reg'!O22</f>
        <v>363516.16</v>
      </c>
      <c r="N22" s="87">
        <f>+'All A - ESITO 2010 comp reg'!R22+'All A - ESITO 2010 comp reg'!O22</f>
        <v>333937.49</v>
      </c>
      <c r="O22" s="87">
        <f>+'ALL B - ESITO 2010 comp ASL'!P22+'ALL B - ESITO 2010 comp ASL'!S22+'All A - ESITO 2010 comp reg'!O22</f>
        <v>171642.60421833268</v>
      </c>
      <c r="P22" s="87">
        <f>+'ALL B - ESITO 2010 comp ASL'!Q22+'ALL B - ESITO 2010 comp ASL'!T22+'All A - ESITO 2010 comp reg'!O22</f>
        <v>160816.01211798444</v>
      </c>
      <c r="Q22" s="87">
        <f aca="true" t="shared" si="4" ref="Q22:Q34">MAX(M22:P22)</f>
        <v>363516.16</v>
      </c>
      <c r="R22" s="87">
        <f aca="true" t="shared" si="5" ref="R22:R34">+Q22-H22</f>
        <v>202700.14788201553</v>
      </c>
      <c r="S22" s="87"/>
    </row>
    <row r="23" spans="1:19" s="3" customFormat="1" ht="12.75" customHeight="1">
      <c r="A23" s="61">
        <v>150016</v>
      </c>
      <c r="B23" s="35" t="s">
        <v>24</v>
      </c>
      <c r="C23" s="36"/>
      <c r="D23" s="132">
        <f>+'All A - ESITO 2010 comp reg'!K23</f>
        <v>11689290.84</v>
      </c>
      <c r="E23" s="132">
        <f>+'All A - ESITO 2010 comp reg'!L23</f>
        <v>12200000</v>
      </c>
      <c r="F23" s="132">
        <f>+'All A - ESITO 2010 comp reg'!M23</f>
        <v>0</v>
      </c>
      <c r="G23" s="132">
        <f>+'All A - ESITO 2010 comp reg'!N23</f>
        <v>0</v>
      </c>
      <c r="H23" s="133">
        <f>IF('All A - ESITO 2010 comp reg'!S23&gt;'ALL B - ESITO 2010 comp ASL'!U23,'ALL B - ESITO 2010 comp ASL'!U23,'All A - ESITO 2010 comp reg'!S23)</f>
        <v>0</v>
      </c>
      <c r="I23" s="134">
        <f>+'All A - ESITO 2010 comp reg'!Q23+'All A - ESITO 2010 comp reg'!O23-'All C - comp e acc.to'!H23</f>
        <v>0</v>
      </c>
      <c r="J23" s="134">
        <f>+'ALL B - ESITO 2010 comp ASL'!U23-'All A - ESITO 2010 comp reg'!S23</f>
        <v>0</v>
      </c>
      <c r="K23" s="62"/>
      <c r="L23" s="2"/>
      <c r="M23" s="87">
        <f>+'All A - ESITO 2010 comp reg'!Q23+'All A - ESITO 2010 comp reg'!O23</f>
        <v>0</v>
      </c>
      <c r="N23" s="87">
        <f>+'All A - ESITO 2010 comp reg'!R23+'All A - ESITO 2010 comp reg'!O23</f>
        <v>0</v>
      </c>
      <c r="O23" s="87">
        <f>+'ALL B - ESITO 2010 comp ASL'!P23+'ALL B - ESITO 2010 comp ASL'!S23+'All A - ESITO 2010 comp reg'!O23</f>
        <v>0</v>
      </c>
      <c r="P23" s="87">
        <f>+'ALL B - ESITO 2010 comp ASL'!Q23+'ALL B - ESITO 2010 comp ASL'!T23+'All A - ESITO 2010 comp reg'!O23</f>
        <v>0</v>
      </c>
      <c r="Q23" s="87">
        <f t="shared" si="4"/>
        <v>0</v>
      </c>
      <c r="R23" s="87">
        <f t="shared" si="5"/>
        <v>0</v>
      </c>
      <c r="S23" s="87"/>
    </row>
    <row r="24" spans="1:19" s="3" customFormat="1" ht="12.75" customHeight="1">
      <c r="A24" s="61">
        <v>150017</v>
      </c>
      <c r="B24" s="35" t="s">
        <v>25</v>
      </c>
      <c r="C24" s="24"/>
      <c r="D24" s="132">
        <f>+'All A - ESITO 2010 comp reg'!K24</f>
        <v>1156192.1</v>
      </c>
      <c r="E24" s="132">
        <f>+'All A - ESITO 2010 comp reg'!L24</f>
        <v>1300000</v>
      </c>
      <c r="F24" s="132">
        <f>+'All A - ESITO 2010 comp reg'!M24</f>
        <v>0</v>
      </c>
      <c r="G24" s="132">
        <f>+'All A - ESITO 2010 comp reg'!N24</f>
        <v>0</v>
      </c>
      <c r="H24" s="133">
        <f>IF('All A - ESITO 2010 comp reg'!S24&gt;'ALL B - ESITO 2010 comp ASL'!U24,'ALL B - ESITO 2010 comp ASL'!U24,'All A - ESITO 2010 comp reg'!S24)</f>
        <v>0</v>
      </c>
      <c r="I24" s="134">
        <f>+'All A - ESITO 2010 comp reg'!Q24+'All A - ESITO 2010 comp reg'!O24-'All C - comp e acc.to'!H24</f>
        <v>0</v>
      </c>
      <c r="J24" s="134">
        <f>+'ALL B - ESITO 2010 comp ASL'!U24-'All A - ESITO 2010 comp reg'!S24</f>
        <v>0</v>
      </c>
      <c r="K24" s="62"/>
      <c r="L24" s="2"/>
      <c r="M24" s="87">
        <f>+'All A - ESITO 2010 comp reg'!Q24+'All A - ESITO 2010 comp reg'!O24</f>
        <v>0</v>
      </c>
      <c r="N24" s="87">
        <f>+'All A - ESITO 2010 comp reg'!R24+'All A - ESITO 2010 comp reg'!O24</f>
        <v>0</v>
      </c>
      <c r="O24" s="87">
        <f>+'ALL B - ESITO 2010 comp ASL'!P24+'ALL B - ESITO 2010 comp ASL'!S24+'All A - ESITO 2010 comp reg'!O24</f>
        <v>0</v>
      </c>
      <c r="P24" s="87">
        <f>+'ALL B - ESITO 2010 comp ASL'!Q24+'ALL B - ESITO 2010 comp ASL'!T24+'All A - ESITO 2010 comp reg'!O24</f>
        <v>0</v>
      </c>
      <c r="Q24" s="87">
        <f t="shared" si="4"/>
        <v>0</v>
      </c>
      <c r="R24" s="87">
        <f t="shared" si="5"/>
        <v>0</v>
      </c>
      <c r="S24" s="87"/>
    </row>
    <row r="25" spans="1:19" s="3" customFormat="1" ht="12.75" customHeight="1">
      <c r="A25" s="61">
        <v>150018</v>
      </c>
      <c r="B25" s="32" t="s">
        <v>30</v>
      </c>
      <c r="C25" s="24" t="s">
        <v>103</v>
      </c>
      <c r="D25" s="132">
        <f>+'All A - ESITO 2010 comp reg'!K25</f>
        <v>4353880.01</v>
      </c>
      <c r="E25" s="132">
        <f>+'All A - ESITO 2010 comp reg'!L25</f>
        <v>3850000</v>
      </c>
      <c r="F25" s="132">
        <f>+'All A - ESITO 2010 comp reg'!M25</f>
        <v>503880.0099999998</v>
      </c>
      <c r="G25" s="132">
        <f>+'All A - ESITO 2010 comp reg'!N25</f>
        <v>0</v>
      </c>
      <c r="H25" s="133">
        <f>IF('All A - ESITO 2010 comp reg'!S25&gt;'ALL B - ESITO 2010 comp ASL'!U25,'ALL B - ESITO 2010 comp ASL'!U25,'All A - ESITO 2010 comp reg'!S25)</f>
        <v>76517.09922143367</v>
      </c>
      <c r="I25" s="134">
        <f>+'All A - ESITO 2010 comp reg'!Q25+'All A - ESITO 2010 comp reg'!O25-'All C - comp e acc.to'!H25</f>
        <v>96445.79077856634</v>
      </c>
      <c r="J25" s="134">
        <f>+'ALL B - ESITO 2010 comp ASL'!U25-'All A - ESITO 2010 comp reg'!S25</f>
        <v>-82372.11077856632</v>
      </c>
      <c r="K25" s="62"/>
      <c r="L25" s="2"/>
      <c r="M25" s="87">
        <f>+'All A - ESITO 2010 comp reg'!Q25+'All A - ESITO 2010 comp reg'!O25</f>
        <v>172962.89</v>
      </c>
      <c r="N25" s="87">
        <f>+'All A - ESITO 2010 comp reg'!R25+'All A - ESITO 2010 comp reg'!O25</f>
        <v>158889.21</v>
      </c>
      <c r="O25" s="87">
        <f>+'ALL B - ESITO 2010 comp ASL'!P25+'ALL B - ESITO 2010 comp ASL'!S25+'All A - ESITO 2010 comp reg'!O25</f>
        <v>81668.44743551074</v>
      </c>
      <c r="P25" s="87">
        <f>+'ALL B - ESITO 2010 comp ASL'!Q25+'ALL B - ESITO 2010 comp ASL'!T25+'All A - ESITO 2010 comp reg'!O25</f>
        <v>76517.09922143367</v>
      </c>
      <c r="Q25" s="87">
        <f t="shared" si="4"/>
        <v>172962.89</v>
      </c>
      <c r="R25" s="87">
        <f t="shared" si="5"/>
        <v>96445.79077856634</v>
      </c>
      <c r="S25" s="87"/>
    </row>
    <row r="26" spans="1:19" s="3" customFormat="1" ht="12.75" customHeight="1">
      <c r="A26" s="61">
        <v>150019</v>
      </c>
      <c r="B26" s="35" t="s">
        <v>82</v>
      </c>
      <c r="C26" s="24" t="s">
        <v>106</v>
      </c>
      <c r="D26" s="132">
        <f>+'All A - ESITO 2010 comp reg'!K26</f>
        <v>10577710.65</v>
      </c>
      <c r="E26" s="132">
        <f>+'All A - ESITO 2010 comp reg'!L26</f>
        <v>10200000</v>
      </c>
      <c r="F26" s="132">
        <f>+'All A - ESITO 2010 comp reg'!M26</f>
        <v>377710.6500000004</v>
      </c>
      <c r="G26" s="132">
        <f>+'All A - ESITO 2010 comp reg'!N26</f>
        <v>0</v>
      </c>
      <c r="H26" s="133">
        <f>IF('All A - ESITO 2010 comp reg'!S26&gt;'ALL B - ESITO 2010 comp ASL'!U26,'ALL B - ESITO 2010 comp ASL'!U26,'All A - ESITO 2010 comp reg'!S26)</f>
        <v>57357.550733037504</v>
      </c>
      <c r="I26" s="134">
        <f>+'All A - ESITO 2010 comp reg'!Q26+'All A - ESITO 2010 comp reg'!O26-'All C - comp e acc.to'!H26</f>
        <v>72296.1892669625</v>
      </c>
      <c r="J26" s="134">
        <f>+'ALL B - ESITO 2010 comp ASL'!U26-'All A - ESITO 2010 comp reg'!S26</f>
        <v>-61746.48926696249</v>
      </c>
      <c r="K26" s="62" t="s">
        <v>130</v>
      </c>
      <c r="L26" s="2"/>
      <c r="M26" s="87">
        <f>+'All A - ESITO 2010 comp reg'!Q26+'All A - ESITO 2010 comp reg'!O26</f>
        <v>129653.74</v>
      </c>
      <c r="N26" s="87">
        <f>+'All A - ESITO 2010 comp reg'!R26+'All A - ESITO 2010 comp reg'!O26</f>
        <v>119104.04</v>
      </c>
      <c r="O26" s="87">
        <f>+'ALL B - ESITO 2010 comp ASL'!P26+'ALL B - ESITO 2010 comp ASL'!S26+'All A - ESITO 2010 comp reg'!O26</f>
        <v>61219.02642863572</v>
      </c>
      <c r="P26" s="87">
        <f>+'ALL B - ESITO 2010 comp ASL'!Q26+'ALL B - ESITO 2010 comp ASL'!T26+'All A - ESITO 2010 comp reg'!O26</f>
        <v>57357.550733037504</v>
      </c>
      <c r="Q26" s="87">
        <f t="shared" si="4"/>
        <v>129653.74</v>
      </c>
      <c r="R26" s="87">
        <f t="shared" si="5"/>
        <v>72296.1892669625</v>
      </c>
      <c r="S26" s="87"/>
    </row>
    <row r="27" spans="1:19" s="3" customFormat="1" ht="12.75" customHeight="1">
      <c r="A27" s="61">
        <v>150020</v>
      </c>
      <c r="B27" s="32" t="s">
        <v>29</v>
      </c>
      <c r="C27" s="33"/>
      <c r="D27" s="132">
        <f>+'All A - ESITO 2010 comp reg'!K27</f>
        <v>27052974.010000005</v>
      </c>
      <c r="E27" s="132">
        <f>+'All A - ESITO 2010 comp reg'!L27</f>
        <v>25000000</v>
      </c>
      <c r="F27" s="132">
        <f>+'All A - ESITO 2010 comp reg'!M27</f>
        <v>2052974.0100000054</v>
      </c>
      <c r="G27" s="132">
        <f>+'All A - ESITO 2010 comp reg'!N27</f>
        <v>0</v>
      </c>
      <c r="H27" s="133">
        <f>IF('All A - ESITO 2010 comp reg'!S27&gt;'ALL B - ESITO 2010 comp ASL'!U27,'ALL B - ESITO 2010 comp ASL'!U27,'All A - ESITO 2010 comp reg'!S27)</f>
        <v>311755.9989441905</v>
      </c>
      <c r="I27" s="134">
        <f>+'All A - ESITO 2010 comp reg'!Q27+'All A - ESITO 2010 comp reg'!O27-'All C - comp e acc.to'!H27</f>
        <v>392952.09105580946</v>
      </c>
      <c r="J27" s="134">
        <f>+'ALL B - ESITO 2010 comp ASL'!U27-'All A - ESITO 2010 comp reg'!S27</f>
        <v>-335611.2410558095</v>
      </c>
      <c r="K27" s="62"/>
      <c r="L27" s="2"/>
      <c r="M27" s="87">
        <f>+'All A - ESITO 2010 comp reg'!Q27+'All A - ESITO 2010 comp reg'!O27</f>
        <v>704708.09</v>
      </c>
      <c r="N27" s="87">
        <f>+'All A - ESITO 2010 comp reg'!R27+'All A - ESITO 2010 comp reg'!O27</f>
        <v>647367.24</v>
      </c>
      <c r="O27" s="87">
        <f>+'ALL B - ESITO 2010 comp ASL'!P27+'ALL B - ESITO 2010 comp ASL'!S27+'All A - ESITO 2010 comp reg'!O27</f>
        <v>332744.3062951979</v>
      </c>
      <c r="P27" s="87">
        <f>+'ALL B - ESITO 2010 comp ASL'!Q27+'ALL B - ESITO 2010 comp ASL'!T27+'All A - ESITO 2010 comp reg'!O27</f>
        <v>311755.9989441905</v>
      </c>
      <c r="Q27" s="87">
        <f t="shared" si="4"/>
        <v>704708.09</v>
      </c>
      <c r="R27" s="87">
        <f t="shared" si="5"/>
        <v>392952.09105580946</v>
      </c>
      <c r="S27" s="87"/>
    </row>
    <row r="28" spans="1:19" s="3" customFormat="1" ht="12.75" customHeight="1">
      <c r="A28" s="61">
        <v>150021</v>
      </c>
      <c r="B28" s="35" t="s">
        <v>83</v>
      </c>
      <c r="C28" s="24" t="s">
        <v>105</v>
      </c>
      <c r="D28" s="132">
        <f>+'All A - ESITO 2010 comp reg'!K28</f>
        <v>35591590.76</v>
      </c>
      <c r="E28" s="132">
        <f>+'All A - ESITO 2010 comp reg'!L28</f>
        <v>31000000</v>
      </c>
      <c r="F28" s="132">
        <f>+'All A - ESITO 2010 comp reg'!M28</f>
        <v>4591590.759999998</v>
      </c>
      <c r="G28" s="132">
        <f>+'All A - ESITO 2010 comp reg'!N28</f>
        <v>0</v>
      </c>
      <c r="H28" s="133">
        <f>IF('All A - ESITO 2010 comp reg'!S28&gt;'ALL B - ESITO 2010 comp ASL'!U28,'ALL B - ESITO 2010 comp ASL'!U28,'All A - ESITO 2010 comp reg'!S28)</f>
        <v>697259.6624629609</v>
      </c>
      <c r="I28" s="134">
        <f>+'All A - ESITO 2010 comp reg'!Q28+'All A - ESITO 2010 comp reg'!O28-'All C - comp e acc.to'!H28</f>
        <v>878859.237537039</v>
      </c>
      <c r="J28" s="134">
        <f>+'ALL B - ESITO 2010 comp ASL'!U28-'All A - ESITO 2010 comp reg'!S28</f>
        <v>-750613.227537039</v>
      </c>
      <c r="K28" s="62"/>
      <c r="L28" s="2"/>
      <c r="M28" s="87">
        <f>+'All A - ESITO 2010 comp reg'!Q28+'All A - ESITO 2010 comp reg'!O28</f>
        <v>1576118.9</v>
      </c>
      <c r="N28" s="87">
        <f>+'All A - ESITO 2010 comp reg'!R28+'All A - ESITO 2010 comp reg'!O28</f>
        <v>1447872.89</v>
      </c>
      <c r="O28" s="87">
        <f>+'ALL B - ESITO 2010 comp ASL'!P28+'ALL B - ESITO 2010 comp ASL'!S28+'All A - ESITO 2010 comp reg'!O28</f>
        <v>744201.1653782311</v>
      </c>
      <c r="P28" s="87">
        <f>+'ALL B - ESITO 2010 comp ASL'!Q28+'ALL B - ESITO 2010 comp ASL'!T28+'All A - ESITO 2010 comp reg'!O28</f>
        <v>697259.6624629609</v>
      </c>
      <c r="Q28" s="87">
        <f t="shared" si="4"/>
        <v>1576118.9</v>
      </c>
      <c r="R28" s="87">
        <f t="shared" si="5"/>
        <v>878859.237537039</v>
      </c>
      <c r="S28" s="87"/>
    </row>
    <row r="29" spans="1:19" s="3" customFormat="1" ht="12.75" customHeight="1">
      <c r="A29" s="61">
        <v>150022</v>
      </c>
      <c r="B29" s="32" t="s">
        <v>28</v>
      </c>
      <c r="C29" s="24" t="s">
        <v>103</v>
      </c>
      <c r="D29" s="132">
        <f>+'All A - ESITO 2010 comp reg'!K29</f>
        <v>5572263.43</v>
      </c>
      <c r="E29" s="132">
        <f>+'All A - ESITO 2010 comp reg'!L29</f>
        <v>4100000</v>
      </c>
      <c r="F29" s="132">
        <f>+'All A - ESITO 2010 comp reg'!M29</f>
        <v>1472263.4299999997</v>
      </c>
      <c r="G29" s="132">
        <f>+'All A - ESITO 2010 comp reg'!N29</f>
        <v>0</v>
      </c>
      <c r="H29" s="133">
        <f>IF('All A - ESITO 2010 comp reg'!S29&gt;'ALL B - ESITO 2010 comp ASL'!U29,'ALL B - ESITO 2010 comp ASL'!U29,'All A - ESITO 2010 comp reg'!S29)</f>
        <v>223571.73255500937</v>
      </c>
      <c r="I29" s="134">
        <f>+'All A - ESITO 2010 comp reg'!Q29+'All A - ESITO 2010 comp reg'!O29-'All C - comp e acc.to'!H29</f>
        <v>281800.4474449906</v>
      </c>
      <c r="J29" s="134">
        <f>+'ALL B - ESITO 2010 comp ASL'!U29-'All A - ESITO 2010 comp reg'!S29</f>
        <v>-240679.20744499064</v>
      </c>
      <c r="K29" s="62"/>
      <c r="L29" s="2"/>
      <c r="M29" s="87">
        <f>+'All A - ESITO 2010 comp reg'!Q29+'All A - ESITO 2010 comp reg'!O29</f>
        <v>505372.18</v>
      </c>
      <c r="N29" s="87">
        <f>+'All A - ESITO 2010 comp reg'!R29+'All A - ESITO 2010 comp reg'!O29</f>
        <v>464250.94</v>
      </c>
      <c r="O29" s="87">
        <f>+'ALL B - ESITO 2010 comp ASL'!P29+'ALL B - ESITO 2010 comp ASL'!S29+'All A - ESITO 2010 comp reg'!O29</f>
        <v>238623.222671406</v>
      </c>
      <c r="P29" s="87">
        <f>+'ALL B - ESITO 2010 comp ASL'!Q29+'ALL B - ESITO 2010 comp ASL'!T29+'All A - ESITO 2010 comp reg'!O29</f>
        <v>223571.73255500937</v>
      </c>
      <c r="Q29" s="87">
        <f t="shared" si="4"/>
        <v>505372.18</v>
      </c>
      <c r="R29" s="87">
        <f t="shared" si="5"/>
        <v>281800.4474449906</v>
      </c>
      <c r="S29" s="87"/>
    </row>
    <row r="30" spans="1:19" s="3" customFormat="1" ht="12.75" customHeight="1">
      <c r="A30" s="61">
        <v>150023</v>
      </c>
      <c r="B30" s="35" t="s">
        <v>22</v>
      </c>
      <c r="C30" s="24" t="s">
        <v>105</v>
      </c>
      <c r="D30" s="132">
        <f>+'All A - ESITO 2010 comp reg'!K30</f>
        <v>5014399.23</v>
      </c>
      <c r="E30" s="132">
        <f>+'All A - ESITO 2010 comp reg'!L30</f>
        <v>3800000</v>
      </c>
      <c r="F30" s="132">
        <f>+'All A - ESITO 2010 comp reg'!M30</f>
        <v>1214399.2300000004</v>
      </c>
      <c r="G30" s="132">
        <f>+'All A - ESITO 2010 comp reg'!N30</f>
        <v>0</v>
      </c>
      <c r="H30" s="133">
        <f>IF('All A - ESITO 2010 comp reg'!S30&gt;'ALL B - ESITO 2010 comp ASL'!U30,'ALL B - ESITO 2010 comp ASL'!U30,'All A - ESITO 2010 comp reg'!S30)</f>
        <v>184413.55970333162</v>
      </c>
      <c r="I30" s="134">
        <f>+'All A - ESITO 2010 comp reg'!Q30+'All A - ESITO 2010 comp reg'!O30-'All C - comp e acc.to'!H30</f>
        <v>232443.62029666838</v>
      </c>
      <c r="J30" s="134">
        <f>+'ALL B - ESITO 2010 comp ASL'!U30-'All A - ESITO 2010 comp reg'!S30</f>
        <v>-198524.69029666838</v>
      </c>
      <c r="K30" s="62"/>
      <c r="L30" s="2"/>
      <c r="M30" s="87">
        <f>+'All A - ESITO 2010 comp reg'!Q30+'All A - ESITO 2010 comp reg'!O30</f>
        <v>416857.18</v>
      </c>
      <c r="N30" s="87">
        <f>+'All A - ESITO 2010 comp reg'!R30+'All A - ESITO 2010 comp reg'!O30</f>
        <v>382938.25</v>
      </c>
      <c r="O30" s="87">
        <f>+'ALL B - ESITO 2010 comp ASL'!P30+'ALL B - ESITO 2010 comp ASL'!S30+'All A - ESITO 2010 comp reg'!O30</f>
        <v>196828.80771394062</v>
      </c>
      <c r="P30" s="87">
        <f>+'ALL B - ESITO 2010 comp ASL'!Q30+'ALL B - ESITO 2010 comp ASL'!T30+'All A - ESITO 2010 comp reg'!O30</f>
        <v>184413.55970333162</v>
      </c>
      <c r="Q30" s="87">
        <f t="shared" si="4"/>
        <v>416857.18</v>
      </c>
      <c r="R30" s="87">
        <f t="shared" si="5"/>
        <v>232443.62029666838</v>
      </c>
      <c r="S30" s="87"/>
    </row>
    <row r="31" spans="1:19" s="3" customFormat="1" ht="12.75" customHeight="1">
      <c r="A31" s="61">
        <v>150024</v>
      </c>
      <c r="B31" s="35" t="s">
        <v>86</v>
      </c>
      <c r="C31" s="24"/>
      <c r="D31" s="132">
        <f>+'All A - ESITO 2010 comp reg'!K31</f>
        <v>0</v>
      </c>
      <c r="E31" s="132">
        <f>+'All A - ESITO 2010 comp reg'!L31</f>
        <v>400000</v>
      </c>
      <c r="F31" s="132">
        <f>+'All A - ESITO 2010 comp reg'!M31</f>
        <v>0</v>
      </c>
      <c r="G31" s="132">
        <f>+'All A - ESITO 2010 comp reg'!N31</f>
        <v>0</v>
      </c>
      <c r="H31" s="133">
        <f>IF('All A - ESITO 2010 comp reg'!S31&gt;'ALL B - ESITO 2010 comp ASL'!U31,'ALL B - ESITO 2010 comp ASL'!U31,'All A - ESITO 2010 comp reg'!S31)</f>
        <v>0</v>
      </c>
      <c r="I31" s="134">
        <f>+'All A - ESITO 2010 comp reg'!Q31+'All A - ESITO 2010 comp reg'!O31-'All C - comp e acc.to'!H31</f>
        <v>0</v>
      </c>
      <c r="J31" s="134">
        <f>+'ALL B - ESITO 2010 comp ASL'!U31-'All A - ESITO 2010 comp reg'!S31</f>
        <v>0</v>
      </c>
      <c r="K31" s="62"/>
      <c r="L31" s="2"/>
      <c r="M31" s="87">
        <f>+'All A - ESITO 2010 comp reg'!Q31+'All A - ESITO 2010 comp reg'!O31</f>
        <v>0</v>
      </c>
      <c r="N31" s="87">
        <f>+'All A - ESITO 2010 comp reg'!R31+'All A - ESITO 2010 comp reg'!O31</f>
        <v>0</v>
      </c>
      <c r="O31" s="87">
        <f>+'ALL B - ESITO 2010 comp ASL'!P31+'ALL B - ESITO 2010 comp ASL'!S31+'All A - ESITO 2010 comp reg'!O31</f>
        <v>0</v>
      </c>
      <c r="P31" s="87">
        <f>+'ALL B - ESITO 2010 comp ASL'!Q31+'ALL B - ESITO 2010 comp ASL'!T31+'All A - ESITO 2010 comp reg'!O31</f>
        <v>0</v>
      </c>
      <c r="Q31" s="87">
        <f t="shared" si="4"/>
        <v>0</v>
      </c>
      <c r="R31" s="87">
        <f t="shared" si="5"/>
        <v>0</v>
      </c>
      <c r="S31" s="87"/>
    </row>
    <row r="32" spans="1:19" s="3" customFormat="1" ht="12.75" customHeight="1">
      <c r="A32" s="61">
        <v>150025</v>
      </c>
      <c r="B32" s="32" t="s">
        <v>21</v>
      </c>
      <c r="C32" s="24" t="s">
        <v>106</v>
      </c>
      <c r="D32" s="132">
        <f>+'All A - ESITO 2010 comp reg'!K32</f>
        <v>4638022.36</v>
      </c>
      <c r="E32" s="132">
        <f>+'All A - ESITO 2010 comp reg'!L32</f>
        <v>3950000</v>
      </c>
      <c r="F32" s="132">
        <f>+'All A - ESITO 2010 comp reg'!M32</f>
        <v>688022.3600000003</v>
      </c>
      <c r="G32" s="132">
        <f>+'All A - ESITO 2010 comp reg'!N32</f>
        <v>0</v>
      </c>
      <c r="H32" s="133">
        <f>IF('All A - ESITO 2010 comp reg'!S32&gt;'ALL B - ESITO 2010 comp ASL'!U32,'ALL B - ESITO 2010 comp ASL'!U32,'All A - ESITO 2010 comp reg'!S32)</f>
        <v>104480.1818733846</v>
      </c>
      <c r="I32" s="134">
        <f>+'All A - ESITO 2010 comp reg'!Q32+'All A - ESITO 2010 comp reg'!O32-'All C - comp e acc.to'!H32</f>
        <v>131691.7881266154</v>
      </c>
      <c r="J32" s="134">
        <f>+'ALL B - ESITO 2010 comp ASL'!U32-'All A - ESITO 2010 comp reg'!S32</f>
        <v>-112474.89812661539</v>
      </c>
      <c r="K32" s="62"/>
      <c r="L32" s="2"/>
      <c r="M32" s="87">
        <f>+'All A - ESITO 2010 comp reg'!Q32+'All A - ESITO 2010 comp reg'!O32</f>
        <v>236171.97</v>
      </c>
      <c r="N32" s="87">
        <f>+'All A - ESITO 2010 comp reg'!R32+'All A - ESITO 2010 comp reg'!O32</f>
        <v>216955.08</v>
      </c>
      <c r="O32" s="87">
        <f>+'ALL B - ESITO 2010 comp ASL'!P32+'ALL B - ESITO 2010 comp ASL'!S32+'All A - ESITO 2010 comp reg'!O32</f>
        <v>111514.08985874691</v>
      </c>
      <c r="P32" s="87">
        <f>+'ALL B - ESITO 2010 comp ASL'!Q32+'ALL B - ESITO 2010 comp ASL'!T32+'All A - ESITO 2010 comp reg'!O32</f>
        <v>104480.1818733846</v>
      </c>
      <c r="Q32" s="87">
        <f t="shared" si="4"/>
        <v>236171.97</v>
      </c>
      <c r="R32" s="87">
        <f t="shared" si="5"/>
        <v>131691.7881266154</v>
      </c>
      <c r="S32" s="87"/>
    </row>
    <row r="33" spans="1:19" s="3" customFormat="1" ht="12.75" customHeight="1">
      <c r="A33" s="61">
        <v>150028</v>
      </c>
      <c r="B33" s="35" t="s">
        <v>23</v>
      </c>
      <c r="C33" s="36"/>
      <c r="D33" s="132">
        <f>+'All A - ESITO 2010 comp reg'!K33</f>
        <v>11682567.57</v>
      </c>
      <c r="E33" s="132">
        <f>+'All A - ESITO 2010 comp reg'!L33</f>
        <v>11900000</v>
      </c>
      <c r="F33" s="132">
        <f>+'All A - ESITO 2010 comp reg'!M33</f>
        <v>0</v>
      </c>
      <c r="G33" s="132">
        <f>+'All A - ESITO 2010 comp reg'!N33</f>
        <v>0</v>
      </c>
      <c r="H33" s="133">
        <f>IF('All A - ESITO 2010 comp reg'!S33&gt;'ALL B - ESITO 2010 comp ASL'!U33,'ALL B - ESITO 2010 comp ASL'!U33,'All A - ESITO 2010 comp reg'!S33)</f>
        <v>0</v>
      </c>
      <c r="I33" s="134">
        <f>+'All A - ESITO 2010 comp reg'!Q33+'All A - ESITO 2010 comp reg'!O33-'All C - comp e acc.to'!H33</f>
        <v>0</v>
      </c>
      <c r="J33" s="134">
        <f>+'ALL B - ESITO 2010 comp ASL'!U33-'All A - ESITO 2010 comp reg'!S33</f>
        <v>0</v>
      </c>
      <c r="K33" s="62"/>
      <c r="L33" s="2"/>
      <c r="M33" s="87">
        <f>+'All A - ESITO 2010 comp reg'!Q33+'All A - ESITO 2010 comp reg'!O33</f>
        <v>0</v>
      </c>
      <c r="N33" s="87">
        <f>+'All A - ESITO 2010 comp reg'!R33+'All A - ESITO 2010 comp reg'!O33</f>
        <v>0</v>
      </c>
      <c r="O33" s="87">
        <f>+'ALL B - ESITO 2010 comp ASL'!P33+'ALL B - ESITO 2010 comp ASL'!S33+'All A - ESITO 2010 comp reg'!O33</f>
        <v>0</v>
      </c>
      <c r="P33" s="87">
        <f>+'ALL B - ESITO 2010 comp ASL'!Q33+'ALL B - ESITO 2010 comp ASL'!T33+'All A - ESITO 2010 comp reg'!O33</f>
        <v>0</v>
      </c>
      <c r="Q33" s="87">
        <f t="shared" si="4"/>
        <v>0</v>
      </c>
      <c r="R33" s="87">
        <f t="shared" si="5"/>
        <v>0</v>
      </c>
      <c r="S33" s="87"/>
    </row>
    <row r="34" spans="1:19" s="3" customFormat="1" ht="12.75" customHeight="1">
      <c r="A34" s="61">
        <v>150423</v>
      </c>
      <c r="B34" s="32" t="s">
        <v>26</v>
      </c>
      <c r="C34" s="24" t="s">
        <v>105</v>
      </c>
      <c r="D34" s="132">
        <f>+'All A - ESITO 2010 comp reg'!K34</f>
        <v>8315696.009999998</v>
      </c>
      <c r="E34" s="132">
        <f>+'All A - ESITO 2010 comp reg'!L34</f>
        <v>8500000</v>
      </c>
      <c r="F34" s="132">
        <f>+'All A - ESITO 2010 comp reg'!M34</f>
        <v>0</v>
      </c>
      <c r="G34" s="132">
        <f>+'All A - ESITO 2010 comp reg'!N34</f>
        <v>0</v>
      </c>
      <c r="H34" s="133">
        <f>IF('All A - ESITO 2010 comp reg'!S34&gt;'ALL B - ESITO 2010 comp ASL'!U34,'ALL B - ESITO 2010 comp ASL'!U34,'All A - ESITO 2010 comp reg'!S34)</f>
        <v>0</v>
      </c>
      <c r="I34" s="134">
        <f>+'All A - ESITO 2010 comp reg'!Q34+'All A - ESITO 2010 comp reg'!O34-'All C - comp e acc.to'!H34</f>
        <v>0</v>
      </c>
      <c r="J34" s="134">
        <f>+'ALL B - ESITO 2010 comp ASL'!U34-'All A - ESITO 2010 comp reg'!S34</f>
        <v>0</v>
      </c>
      <c r="K34" s="92"/>
      <c r="L34" s="2"/>
      <c r="M34" s="87">
        <f>+'All A - ESITO 2010 comp reg'!Q34+'All A - ESITO 2010 comp reg'!O34</f>
        <v>0</v>
      </c>
      <c r="N34" s="87">
        <f>+'All A - ESITO 2010 comp reg'!R34+'All A - ESITO 2010 comp reg'!O34</f>
        <v>0</v>
      </c>
      <c r="O34" s="87">
        <f>+'ALL B - ESITO 2010 comp ASL'!P34+'ALL B - ESITO 2010 comp ASL'!S34+'All A - ESITO 2010 comp reg'!O34</f>
        <v>0</v>
      </c>
      <c r="P34" s="87">
        <f>+'ALL B - ESITO 2010 comp ASL'!Q34+'ALL B - ESITO 2010 comp ASL'!T34+'All A - ESITO 2010 comp reg'!O34</f>
        <v>0</v>
      </c>
      <c r="Q34" s="87">
        <f t="shared" si="4"/>
        <v>0</v>
      </c>
      <c r="R34" s="87">
        <f t="shared" si="5"/>
        <v>0</v>
      </c>
      <c r="S34" s="87"/>
    </row>
    <row r="35" spans="1:19" s="3" customFormat="1" ht="15.75" customHeight="1">
      <c r="A35" s="58"/>
      <c r="B35" s="26" t="s">
        <v>14</v>
      </c>
      <c r="C35" s="27"/>
      <c r="D35" s="64">
        <f aca="true" t="shared" si="6" ref="D35:J35">SUM(D22:D34)</f>
        <v>130703591.75</v>
      </c>
      <c r="E35" s="64">
        <f t="shared" si="6"/>
        <v>120200000</v>
      </c>
      <c r="F35" s="64">
        <f t="shared" si="6"/>
        <v>11959845.230000004</v>
      </c>
      <c r="G35" s="64">
        <f t="shared" si="6"/>
        <v>0</v>
      </c>
      <c r="H35" s="95">
        <f t="shared" si="6"/>
        <v>1816171.7976113327</v>
      </c>
      <c r="I35" s="95">
        <f t="shared" si="6"/>
        <v>2289189.312388667</v>
      </c>
      <c r="J35" s="95">
        <f t="shared" si="6"/>
        <v>-1955143.3423886672</v>
      </c>
      <c r="K35" s="65"/>
      <c r="L35" s="2"/>
      <c r="S35" s="87"/>
    </row>
    <row r="36" spans="1:19" s="3" customFormat="1" ht="6" customHeight="1">
      <c r="A36" s="56"/>
      <c r="B36" s="26"/>
      <c r="C36" s="34"/>
      <c r="D36" s="104"/>
      <c r="E36" s="104"/>
      <c r="F36" s="104"/>
      <c r="G36" s="104"/>
      <c r="H36" s="104"/>
      <c r="I36" s="104"/>
      <c r="J36" s="104"/>
      <c r="K36" s="104"/>
      <c r="L36" s="2"/>
      <c r="S36" s="87"/>
    </row>
    <row r="37" spans="1:19" s="3" customFormat="1" ht="15.75" customHeight="1">
      <c r="A37" s="30" t="s">
        <v>31</v>
      </c>
      <c r="B37" s="37"/>
      <c r="C37" s="38"/>
      <c r="D37" s="90"/>
      <c r="E37" s="90"/>
      <c r="F37" s="90"/>
      <c r="G37" s="90"/>
      <c r="H37" s="90"/>
      <c r="I37" s="90"/>
      <c r="J37" s="90"/>
      <c r="K37" s="90"/>
      <c r="L37" s="2"/>
      <c r="S37" s="87"/>
    </row>
    <row r="38" spans="1:19" s="3" customFormat="1" ht="12.75" customHeight="1">
      <c r="A38" s="61">
        <v>150075</v>
      </c>
      <c r="B38" s="26" t="s">
        <v>39</v>
      </c>
      <c r="C38" s="24" t="s">
        <v>105</v>
      </c>
      <c r="D38" s="132">
        <f>+'All A - ESITO 2010 comp reg'!K38</f>
        <v>5609208.854</v>
      </c>
      <c r="E38" s="132">
        <f>+'All A - ESITO 2010 comp reg'!L38</f>
        <v>4500000</v>
      </c>
      <c r="F38" s="132">
        <f>+'All A - ESITO 2010 comp reg'!M38</f>
        <v>1109208.8540000003</v>
      </c>
      <c r="G38" s="132">
        <f>+'All A - ESITO 2010 comp reg'!N38</f>
        <v>0</v>
      </c>
      <c r="H38" s="133">
        <f>IF('All A - ESITO 2010 comp reg'!S38&gt;'ALL B - ESITO 2010 comp ASL'!U38,'ALL B - ESITO 2010 comp ASL'!U38,'All A - ESITO 2010 comp reg'!S38)</f>
        <v>349768.42</v>
      </c>
      <c r="I38" s="134">
        <f>+'All A - ESITO 2010 comp reg'!Q38+'All A - ESITO 2010 comp reg'!O38-'All C - comp e acc.to'!H38</f>
        <v>30980.900000000023</v>
      </c>
      <c r="J38" s="134">
        <f>+'ALL B - ESITO 2010 comp ASL'!U38-'All A - ESITO 2010 comp reg'!S38</f>
        <v>521370.7880101533</v>
      </c>
      <c r="K38" s="62" t="s">
        <v>116</v>
      </c>
      <c r="L38" s="2"/>
      <c r="M38" s="87">
        <f>+'All A - ESITO 2010 comp reg'!Q38+'All A - ESITO 2010 comp reg'!O38</f>
        <v>380749.32</v>
      </c>
      <c r="N38" s="87">
        <f>+'All A - ESITO 2010 comp reg'!R38+'All A - ESITO 2010 comp reg'!O38</f>
        <v>349768.42</v>
      </c>
      <c r="O38" s="87">
        <f>+'ALL B - ESITO 2010 comp ASL'!P38+'ALL B - ESITO 2010 comp ASL'!S38+'All A - ESITO 2010 comp reg'!O38</f>
        <v>1109208.8540000003</v>
      </c>
      <c r="P38" s="87">
        <f>+'ALL B - ESITO 2010 comp ASL'!Q38+'ALL B - ESITO 2010 comp ASL'!T38+'All A - ESITO 2010 comp reg'!O38</f>
        <v>871139.2080101533</v>
      </c>
      <c r="Q38" s="87">
        <f aca="true" t="shared" si="7" ref="Q38:Q53">MAX(M38:P38)</f>
        <v>1109208.8540000003</v>
      </c>
      <c r="R38" s="87">
        <f aca="true" t="shared" si="8" ref="R38:R53">+Q38-H38</f>
        <v>759440.4340000004</v>
      </c>
      <c r="S38" s="87"/>
    </row>
    <row r="39" spans="1:19" s="3" customFormat="1" ht="12.75" customHeight="1">
      <c r="A39" s="61">
        <v>150076</v>
      </c>
      <c r="B39" s="32" t="s">
        <v>85</v>
      </c>
      <c r="C39" s="33"/>
      <c r="D39" s="132">
        <f>+'All A - ESITO 2010 comp reg'!K39</f>
        <v>997697.678</v>
      </c>
      <c r="E39" s="132">
        <f>+'All A - ESITO 2010 comp reg'!L39</f>
        <v>1000000</v>
      </c>
      <c r="F39" s="132">
        <f>+'All A - ESITO 2010 comp reg'!M39</f>
        <v>0</v>
      </c>
      <c r="G39" s="132">
        <f>+'All A - ESITO 2010 comp reg'!N39</f>
        <v>0</v>
      </c>
      <c r="H39" s="133">
        <f>IF('All A - ESITO 2010 comp reg'!S39&gt;'ALL B - ESITO 2010 comp ASL'!U39,'ALL B - ESITO 2010 comp ASL'!U39,'All A - ESITO 2010 comp reg'!S39)</f>
        <v>0</v>
      </c>
      <c r="I39" s="134">
        <f>+'All A - ESITO 2010 comp reg'!Q39+'All A - ESITO 2010 comp reg'!O39-'All C - comp e acc.to'!H39</f>
        <v>0</v>
      </c>
      <c r="J39" s="134">
        <f>+'ALL B - ESITO 2010 comp ASL'!U39-'All A - ESITO 2010 comp reg'!S39</f>
        <v>0</v>
      </c>
      <c r="K39" s="62"/>
      <c r="L39" s="2"/>
      <c r="M39" s="87">
        <f>+'All A - ESITO 2010 comp reg'!Q39+'All A - ESITO 2010 comp reg'!O39</f>
        <v>0</v>
      </c>
      <c r="N39" s="87">
        <f>+'All A - ESITO 2010 comp reg'!R39+'All A - ESITO 2010 comp reg'!O39</f>
        <v>0</v>
      </c>
      <c r="O39" s="87">
        <f>+'ALL B - ESITO 2010 comp ASL'!P39+'ALL B - ESITO 2010 comp ASL'!S39+'All A - ESITO 2010 comp reg'!O39</f>
        <v>0</v>
      </c>
      <c r="P39" s="87">
        <f>+'ALL B - ESITO 2010 comp ASL'!Q39+'ALL B - ESITO 2010 comp ASL'!T39+'All A - ESITO 2010 comp reg'!O39</f>
        <v>0</v>
      </c>
      <c r="Q39" s="87">
        <f t="shared" si="7"/>
        <v>0</v>
      </c>
      <c r="R39" s="87">
        <f t="shared" si="8"/>
        <v>0</v>
      </c>
      <c r="S39" s="87"/>
    </row>
    <row r="40" spans="1:19" s="3" customFormat="1" ht="12.75" customHeight="1">
      <c r="A40" s="61">
        <v>150078</v>
      </c>
      <c r="B40" s="32" t="s">
        <v>34</v>
      </c>
      <c r="C40" s="33"/>
      <c r="D40" s="132">
        <f>+'All A - ESITO 2010 comp reg'!K40</f>
        <v>11849247.43</v>
      </c>
      <c r="E40" s="132">
        <f>+'All A - ESITO 2010 comp reg'!L40</f>
        <v>12400000</v>
      </c>
      <c r="F40" s="132">
        <f>+'All A - ESITO 2010 comp reg'!M40</f>
        <v>0</v>
      </c>
      <c r="G40" s="132">
        <f>+'All A - ESITO 2010 comp reg'!N40</f>
        <v>0</v>
      </c>
      <c r="H40" s="133">
        <f>IF('All A - ESITO 2010 comp reg'!S40&gt;'ALL B - ESITO 2010 comp ASL'!U40,'ALL B - ESITO 2010 comp ASL'!U40,'All A - ESITO 2010 comp reg'!S40)</f>
        <v>0</v>
      </c>
      <c r="I40" s="134">
        <f>+'All A - ESITO 2010 comp reg'!Q40+'All A - ESITO 2010 comp reg'!O40-'All C - comp e acc.to'!H40</f>
        <v>0</v>
      </c>
      <c r="J40" s="134">
        <f>+'ALL B - ESITO 2010 comp ASL'!U40-'All A - ESITO 2010 comp reg'!S40</f>
        <v>0</v>
      </c>
      <c r="K40" s="62" t="s">
        <v>118</v>
      </c>
      <c r="L40" s="2"/>
      <c r="M40" s="87">
        <f>+'All A - ESITO 2010 comp reg'!Q40+'All A - ESITO 2010 comp reg'!O40</f>
        <v>0</v>
      </c>
      <c r="N40" s="87">
        <f>+'All A - ESITO 2010 comp reg'!R40+'All A - ESITO 2010 comp reg'!O40</f>
        <v>0</v>
      </c>
      <c r="O40" s="87">
        <f>+'ALL B - ESITO 2010 comp ASL'!P40+'ALL B - ESITO 2010 comp ASL'!S40+'All A - ESITO 2010 comp reg'!O40</f>
        <v>0</v>
      </c>
      <c r="P40" s="87">
        <f>+'ALL B - ESITO 2010 comp ASL'!Q40+'ALL B - ESITO 2010 comp ASL'!T40+'All A - ESITO 2010 comp reg'!O40</f>
        <v>0</v>
      </c>
      <c r="Q40" s="87">
        <f t="shared" si="7"/>
        <v>0</v>
      </c>
      <c r="R40" s="87">
        <f t="shared" si="8"/>
        <v>0</v>
      </c>
      <c r="S40" s="87"/>
    </row>
    <row r="41" spans="1:19" s="3" customFormat="1" ht="12.75" customHeight="1">
      <c r="A41" s="61">
        <v>150079</v>
      </c>
      <c r="B41" s="35" t="s">
        <v>32</v>
      </c>
      <c r="C41" s="36"/>
      <c r="D41" s="132">
        <f>+'All A - ESITO 2010 comp reg'!K41</f>
        <v>1962311.84</v>
      </c>
      <c r="E41" s="132">
        <f>+'All A - ESITO 2010 comp reg'!L41</f>
        <v>1950000</v>
      </c>
      <c r="F41" s="132">
        <f>+'All A - ESITO 2010 comp reg'!M41</f>
        <v>12311.840000000084</v>
      </c>
      <c r="G41" s="132">
        <f>+'All A - ESITO 2010 comp reg'!N41</f>
        <v>908645.01</v>
      </c>
      <c r="H41" s="133">
        <f>IF('All A - ESITO 2010 comp reg'!S41&gt;'ALL B - ESITO 2010 comp ASL'!U41,'ALL B - ESITO 2010 comp ASL'!U41,'All A - ESITO 2010 comp reg'!S41)</f>
        <v>4226.19</v>
      </c>
      <c r="I41" s="134">
        <f>+'All A - ESITO 2010 comp reg'!Q41+'All A - ESITO 2010 comp reg'!O41-'All C - comp e acc.to'!H41</f>
        <v>0</v>
      </c>
      <c r="J41" s="134">
        <f>+'ALL B - ESITO 2010 comp ASL'!U41-'All A - ESITO 2010 comp reg'!S41</f>
        <v>8085.650000000084</v>
      </c>
      <c r="K41" s="62" t="s">
        <v>119</v>
      </c>
      <c r="L41" s="2"/>
      <c r="M41" s="87">
        <f>+'All A - ESITO 2010 comp reg'!Q41+'All A - ESITO 2010 comp reg'!O41</f>
        <v>4226.19</v>
      </c>
      <c r="N41" s="87">
        <f>+'All A - ESITO 2010 comp reg'!R41+'All A - ESITO 2010 comp reg'!O41</f>
        <v>290406.64</v>
      </c>
      <c r="O41" s="87">
        <f>+'ALL B - ESITO 2010 comp ASL'!P41+'ALL B - ESITO 2010 comp ASL'!S41+'All A - ESITO 2010 comp reg'!O41</f>
        <v>12311.840000000084</v>
      </c>
      <c r="P41" s="87">
        <f>+'ALL B - ESITO 2010 comp ASL'!Q41+'ALL B - ESITO 2010 comp ASL'!T41+'All A - ESITO 2010 comp reg'!O41</f>
        <v>755925.7070875649</v>
      </c>
      <c r="Q41" s="87">
        <f t="shared" si="7"/>
        <v>755925.7070875649</v>
      </c>
      <c r="R41" s="87">
        <f t="shared" si="8"/>
        <v>751699.5170875649</v>
      </c>
      <c r="S41" s="87"/>
    </row>
    <row r="42" spans="1:19" s="3" customFormat="1" ht="12.75" customHeight="1">
      <c r="A42" s="61">
        <v>150081</v>
      </c>
      <c r="B42" s="32" t="s">
        <v>35</v>
      </c>
      <c r="C42" s="33"/>
      <c r="D42" s="132">
        <f>+'All A - ESITO 2010 comp reg'!K42</f>
        <v>19890740.209999997</v>
      </c>
      <c r="E42" s="132">
        <f>+'All A - ESITO 2010 comp reg'!L42</f>
        <v>19600000</v>
      </c>
      <c r="F42" s="132">
        <f>+'All A - ESITO 2010 comp reg'!M42</f>
        <v>290740.20999999717</v>
      </c>
      <c r="G42" s="132">
        <f>+'All A - ESITO 2010 comp reg'!N42</f>
        <v>0</v>
      </c>
      <c r="H42" s="133">
        <f>IF('All A - ESITO 2010 comp reg'!S42&gt;'ALL B - ESITO 2010 comp ASL'!U42,'ALL B - ESITO 2010 comp ASL'!U42,'All A - ESITO 2010 comp reg'!S42)</f>
        <v>91679.53</v>
      </c>
      <c r="I42" s="134">
        <f>+'All A - ESITO 2010 comp reg'!Q42+'All A - ESITO 2010 comp reg'!O42-'All C - comp e acc.to'!H42</f>
        <v>8120.550000000003</v>
      </c>
      <c r="J42" s="134">
        <f>+'ALL B - ESITO 2010 comp ASL'!U42-'All A - ESITO 2010 comp reg'!S42</f>
        <v>136659.06950067</v>
      </c>
      <c r="K42" s="62"/>
      <c r="L42" s="2"/>
      <c r="M42" s="87">
        <f>+'All A - ESITO 2010 comp reg'!Q42+'All A - ESITO 2010 comp reg'!O42</f>
        <v>99800.08</v>
      </c>
      <c r="N42" s="87">
        <f>+'All A - ESITO 2010 comp reg'!R42+'All A - ESITO 2010 comp reg'!O42</f>
        <v>91679.53</v>
      </c>
      <c r="O42" s="87">
        <f>+'ALL B - ESITO 2010 comp ASL'!P42+'ALL B - ESITO 2010 comp ASL'!S42+'All A - ESITO 2010 comp reg'!O42</f>
        <v>290740.20999999717</v>
      </c>
      <c r="P42" s="87">
        <f>+'ALL B - ESITO 2010 comp ASL'!Q42+'ALL B - ESITO 2010 comp ASL'!T42+'All A - ESITO 2010 comp reg'!O42</f>
        <v>228338.59950067</v>
      </c>
      <c r="Q42" s="87">
        <f t="shared" si="7"/>
        <v>290740.20999999717</v>
      </c>
      <c r="R42" s="87">
        <f t="shared" si="8"/>
        <v>199060.67999999717</v>
      </c>
      <c r="S42" s="87"/>
    </row>
    <row r="43" spans="1:19" s="3" customFormat="1" ht="12.75" customHeight="1">
      <c r="A43" s="61">
        <v>150086</v>
      </c>
      <c r="B43" s="26" t="s">
        <v>87</v>
      </c>
      <c r="C43" s="24"/>
      <c r="D43" s="132">
        <f>+'All A - ESITO 2010 comp reg'!K43</f>
        <v>5969367.100000001</v>
      </c>
      <c r="E43" s="132">
        <f>+'All A - ESITO 2010 comp reg'!L43</f>
        <v>8000000</v>
      </c>
      <c r="F43" s="132">
        <f>+'All A - ESITO 2010 comp reg'!M43</f>
        <v>0</v>
      </c>
      <c r="G43" s="132">
        <f>+'All A - ESITO 2010 comp reg'!N43</f>
        <v>0</v>
      </c>
      <c r="H43" s="133">
        <f>IF('All A - ESITO 2010 comp reg'!S43&gt;'ALL B - ESITO 2010 comp ASL'!U43,'ALL B - ESITO 2010 comp ASL'!U43,'All A - ESITO 2010 comp reg'!S43)</f>
        <v>0</v>
      </c>
      <c r="I43" s="134">
        <f>+'All A - ESITO 2010 comp reg'!Q43+'All A - ESITO 2010 comp reg'!O43-'All C - comp e acc.to'!H43</f>
        <v>0</v>
      </c>
      <c r="J43" s="134">
        <f>+'ALL B - ESITO 2010 comp ASL'!U43-'All A - ESITO 2010 comp reg'!S43</f>
        <v>0</v>
      </c>
      <c r="K43" s="62"/>
      <c r="L43" s="2"/>
      <c r="M43" s="87">
        <f>+'All A - ESITO 2010 comp reg'!Q43+'All A - ESITO 2010 comp reg'!O43</f>
        <v>0</v>
      </c>
      <c r="N43" s="87">
        <f>+'All A - ESITO 2010 comp reg'!R43+'All A - ESITO 2010 comp reg'!O43</f>
        <v>0</v>
      </c>
      <c r="O43" s="87">
        <f>+'ALL B - ESITO 2010 comp ASL'!P43+'ALL B - ESITO 2010 comp ASL'!S43+'All A - ESITO 2010 comp reg'!O43</f>
        <v>0</v>
      </c>
      <c r="P43" s="87">
        <f>+'ALL B - ESITO 2010 comp ASL'!Q43+'ALL B - ESITO 2010 comp ASL'!T43+'All A - ESITO 2010 comp reg'!O43</f>
        <v>0</v>
      </c>
      <c r="Q43" s="87">
        <f t="shared" si="7"/>
        <v>0</v>
      </c>
      <c r="R43" s="87">
        <f t="shared" si="8"/>
        <v>0</v>
      </c>
      <c r="S43" s="87"/>
    </row>
    <row r="44" spans="1:179" s="4" customFormat="1" ht="12.75" customHeight="1">
      <c r="A44" s="61">
        <v>150088</v>
      </c>
      <c r="B44" s="32" t="s">
        <v>104</v>
      </c>
      <c r="C44" s="24" t="s">
        <v>105</v>
      </c>
      <c r="D44" s="132">
        <f>+'All A - ESITO 2010 comp reg'!K44</f>
        <v>6274262.46</v>
      </c>
      <c r="E44" s="132">
        <f>+'All A - ESITO 2010 comp reg'!L44</f>
        <v>5300000</v>
      </c>
      <c r="F44" s="132">
        <f>+'All A - ESITO 2010 comp reg'!M44</f>
        <v>974262.46</v>
      </c>
      <c r="G44" s="132">
        <f>+'All A - ESITO 2010 comp reg'!N44</f>
        <v>0</v>
      </c>
      <c r="H44" s="133">
        <f>IF('All A - ESITO 2010 comp reg'!S44&gt;'ALL B - ESITO 2010 comp ASL'!U44,'ALL B - ESITO 2010 comp ASL'!U44,'All A - ESITO 2010 comp reg'!S44)</f>
        <v>307215.58</v>
      </c>
      <c r="I44" s="134">
        <f>+'All A - ESITO 2010 comp reg'!Q44+'All A - ESITO 2010 comp reg'!O44-'All C - comp e acc.to'!H44</f>
        <v>27211.76000000001</v>
      </c>
      <c r="J44" s="134">
        <f>+'ALL B - ESITO 2010 comp ASL'!U44-'All A - ESITO 2010 comp reg'!S44</f>
        <v>457940.796761507</v>
      </c>
      <c r="K44" s="62" t="s">
        <v>115</v>
      </c>
      <c r="L44" s="2"/>
      <c r="M44" s="87">
        <f>+'All A - ESITO 2010 comp reg'!Q44+'All A - ESITO 2010 comp reg'!O44</f>
        <v>334427.34</v>
      </c>
      <c r="N44" s="87">
        <f>+'All A - ESITO 2010 comp reg'!R44+'All A - ESITO 2010 comp reg'!O44</f>
        <v>307215.58</v>
      </c>
      <c r="O44" s="87">
        <f>+'ALL B - ESITO 2010 comp ASL'!P44+'ALL B - ESITO 2010 comp ASL'!S44+'All A - ESITO 2010 comp reg'!O44</f>
        <v>974262.46</v>
      </c>
      <c r="P44" s="87">
        <f>+'ALL B - ESITO 2010 comp ASL'!Q44+'ALL B - ESITO 2010 comp ASL'!T44+'All A - ESITO 2010 comp reg'!O44</f>
        <v>765156.376761507</v>
      </c>
      <c r="Q44" s="87">
        <f t="shared" si="7"/>
        <v>974262.46</v>
      </c>
      <c r="R44" s="87">
        <f t="shared" si="8"/>
        <v>667046.8799999999</v>
      </c>
      <c r="S44" s="87"/>
      <c r="FP44" s="3"/>
      <c r="FQ44" s="3"/>
      <c r="FR44" s="3"/>
      <c r="FS44" s="3"/>
      <c r="FT44" s="3"/>
      <c r="FU44" s="3"/>
      <c r="FV44" s="3"/>
      <c r="FW44" s="3"/>
    </row>
    <row r="45" spans="1:19" s="3" customFormat="1" ht="12.75" customHeight="1">
      <c r="A45" s="61">
        <v>150092</v>
      </c>
      <c r="B45" s="26" t="s">
        <v>37</v>
      </c>
      <c r="C45" s="39"/>
      <c r="D45" s="132">
        <f>+'All A - ESITO 2010 comp reg'!K45</f>
        <v>7614049.96</v>
      </c>
      <c r="E45" s="132">
        <f>+'All A - ESITO 2010 comp reg'!L45</f>
        <v>7000000</v>
      </c>
      <c r="F45" s="132">
        <f>+'All A - ESITO 2010 comp reg'!M45</f>
        <v>614049.96</v>
      </c>
      <c r="G45" s="132">
        <f>+'All A - ESITO 2010 comp reg'!N45</f>
        <v>0</v>
      </c>
      <c r="H45" s="133">
        <f>IF('All A - ESITO 2010 comp reg'!S45&gt;'ALL B - ESITO 2010 comp ASL'!U45,'ALL B - ESITO 2010 comp ASL'!U45,'All A - ESITO 2010 comp reg'!S45)</f>
        <v>193629.25</v>
      </c>
      <c r="I45" s="134">
        <f>+'All A - ESITO 2010 comp reg'!Q45+'All A - ESITO 2010 comp reg'!O45-'All C - comp e acc.to'!H45</f>
        <v>17150.79999999999</v>
      </c>
      <c r="J45" s="134">
        <f>+'ALL B - ESITO 2010 comp ASL'!U45-'All A - ESITO 2010 comp reg'!S45</f>
        <v>288627.08423682186</v>
      </c>
      <c r="K45" s="62"/>
      <c r="L45" s="2"/>
      <c r="M45" s="87">
        <f>+'All A - ESITO 2010 comp reg'!Q45+'All A - ESITO 2010 comp reg'!O45</f>
        <v>210780.05</v>
      </c>
      <c r="N45" s="87">
        <f>+'All A - ESITO 2010 comp reg'!R45+'All A - ESITO 2010 comp reg'!O45</f>
        <v>193629.25</v>
      </c>
      <c r="O45" s="87">
        <f>+'ALL B - ESITO 2010 comp ASL'!P45+'ALL B - ESITO 2010 comp ASL'!S45+'All A - ESITO 2010 comp reg'!O45</f>
        <v>614049.96</v>
      </c>
      <c r="P45" s="87">
        <f>+'ALL B - ESITO 2010 comp ASL'!Q45+'ALL B - ESITO 2010 comp ASL'!T45+'All A - ESITO 2010 comp reg'!O45</f>
        <v>482256.33423682186</v>
      </c>
      <c r="Q45" s="87">
        <f t="shared" si="7"/>
        <v>614049.96</v>
      </c>
      <c r="R45" s="87">
        <f t="shared" si="8"/>
        <v>420420.70999999996</v>
      </c>
      <c r="S45" s="87"/>
    </row>
    <row r="46" spans="1:179" s="4" customFormat="1" ht="12.75" customHeight="1">
      <c r="A46" s="61">
        <v>150094</v>
      </c>
      <c r="B46" s="32" t="s">
        <v>44</v>
      </c>
      <c r="C46" s="24"/>
      <c r="D46" s="132">
        <f>+'All A - ESITO 2010 comp reg'!K46</f>
        <v>1468155.85</v>
      </c>
      <c r="E46" s="132">
        <f>+'All A - ESITO 2010 comp reg'!L46</f>
        <v>1700000</v>
      </c>
      <c r="F46" s="132">
        <f>+'All A - ESITO 2010 comp reg'!M46</f>
        <v>0</v>
      </c>
      <c r="G46" s="132">
        <f>+'All A - ESITO 2010 comp reg'!N46</f>
        <v>0</v>
      </c>
      <c r="H46" s="133">
        <f>IF('All A - ESITO 2010 comp reg'!S46&gt;'ALL B - ESITO 2010 comp ASL'!U46,'ALL B - ESITO 2010 comp ASL'!U46,'All A - ESITO 2010 comp reg'!S46)</f>
        <v>0</v>
      </c>
      <c r="I46" s="134">
        <f>+'All A - ESITO 2010 comp reg'!Q46+'All A - ESITO 2010 comp reg'!O46-'All C - comp e acc.to'!H46</f>
        <v>0</v>
      </c>
      <c r="J46" s="134">
        <f>+'ALL B - ESITO 2010 comp ASL'!U46-'All A - ESITO 2010 comp reg'!S46</f>
        <v>0</v>
      </c>
      <c r="K46" s="62"/>
      <c r="L46" s="2"/>
      <c r="M46" s="87">
        <f>+'All A - ESITO 2010 comp reg'!Q46+'All A - ESITO 2010 comp reg'!O46</f>
        <v>0</v>
      </c>
      <c r="N46" s="87">
        <f>+'All A - ESITO 2010 comp reg'!R46+'All A - ESITO 2010 comp reg'!O46</f>
        <v>0</v>
      </c>
      <c r="O46" s="87">
        <f>+'ALL B - ESITO 2010 comp ASL'!P46+'ALL B - ESITO 2010 comp ASL'!S46+'All A - ESITO 2010 comp reg'!O46</f>
        <v>0</v>
      </c>
      <c r="P46" s="87">
        <f>+'ALL B - ESITO 2010 comp ASL'!Q46+'ALL B - ESITO 2010 comp ASL'!T46+'All A - ESITO 2010 comp reg'!O46</f>
        <v>0</v>
      </c>
      <c r="Q46" s="87">
        <f t="shared" si="7"/>
        <v>0</v>
      </c>
      <c r="R46" s="87">
        <f t="shared" si="8"/>
        <v>0</v>
      </c>
      <c r="S46" s="87"/>
      <c r="FP46" s="3"/>
      <c r="FQ46" s="3"/>
      <c r="FR46" s="3"/>
      <c r="FS46" s="3"/>
      <c r="FT46" s="3"/>
      <c r="FU46" s="3"/>
      <c r="FV46" s="3"/>
      <c r="FW46" s="3"/>
    </row>
    <row r="47" spans="1:19" s="3" customFormat="1" ht="12.75" customHeight="1">
      <c r="A47" s="61">
        <v>150095</v>
      </c>
      <c r="B47" s="32" t="s">
        <v>38</v>
      </c>
      <c r="C47" s="33"/>
      <c r="D47" s="132">
        <f>+'All A - ESITO 2010 comp reg'!K47</f>
        <v>35790898.160000004</v>
      </c>
      <c r="E47" s="132">
        <f>+'All A - ESITO 2010 comp reg'!L47</f>
        <v>35600000</v>
      </c>
      <c r="F47" s="132">
        <f>+'All A - ESITO 2010 comp reg'!M47</f>
        <v>190898.16000000387</v>
      </c>
      <c r="G47" s="132">
        <f>+'All A - ESITO 2010 comp reg'!N47</f>
        <v>0</v>
      </c>
      <c r="H47" s="133">
        <f>IF('All A - ESITO 2010 comp reg'!S47&gt;'ALL B - ESITO 2010 comp ASL'!U47,'ALL B - ESITO 2010 comp ASL'!U47,'All A - ESITO 2010 comp reg'!S47)</f>
        <v>60196.19</v>
      </c>
      <c r="I47" s="134">
        <f>+'All A - ESITO 2010 comp reg'!Q47+'All A - ESITO 2010 comp reg'!O47-'All C - comp e acc.to'!H47</f>
        <v>5331.909999999996</v>
      </c>
      <c r="J47" s="134">
        <f>+'ALL B - ESITO 2010 comp ASL'!U47-'All A - ESITO 2010 comp reg'!S47</f>
        <v>89729.4721629878</v>
      </c>
      <c r="K47" s="92"/>
      <c r="L47" s="2"/>
      <c r="M47" s="87">
        <f>+'All A - ESITO 2010 comp reg'!Q47+'All A - ESITO 2010 comp reg'!O47</f>
        <v>65528.1</v>
      </c>
      <c r="N47" s="87">
        <f>+'All A - ESITO 2010 comp reg'!R47+'All A - ESITO 2010 comp reg'!O47</f>
        <v>60196.19</v>
      </c>
      <c r="O47" s="87">
        <f>+'ALL B - ESITO 2010 comp ASL'!P47+'ALL B - ESITO 2010 comp ASL'!S47+'All A - ESITO 2010 comp reg'!O47</f>
        <v>190898.16000000387</v>
      </c>
      <c r="P47" s="87">
        <f>+'ALL B - ESITO 2010 comp ASL'!Q47+'ALL B - ESITO 2010 comp ASL'!T47+'All A - ESITO 2010 comp reg'!O47</f>
        <v>149925.6621629878</v>
      </c>
      <c r="Q47" s="87">
        <f t="shared" si="7"/>
        <v>190898.16000000387</v>
      </c>
      <c r="R47" s="87">
        <f t="shared" si="8"/>
        <v>130701.97000000387</v>
      </c>
      <c r="S47" s="87"/>
    </row>
    <row r="48" spans="1:179" s="4" customFormat="1" ht="12.75" customHeight="1">
      <c r="A48" s="61">
        <v>150099</v>
      </c>
      <c r="B48" s="26" t="s">
        <v>41</v>
      </c>
      <c r="C48" s="39"/>
      <c r="D48" s="132">
        <f>+'All A - ESITO 2010 comp reg'!K48</f>
        <v>7190981.19</v>
      </c>
      <c r="E48" s="132">
        <f>+'All A - ESITO 2010 comp reg'!L48</f>
        <v>6700000</v>
      </c>
      <c r="F48" s="132">
        <f>+'All A - ESITO 2010 comp reg'!M48</f>
        <v>490981.1900000004</v>
      </c>
      <c r="G48" s="132">
        <f>+'All A - ESITO 2010 comp reg'!N48</f>
        <v>0</v>
      </c>
      <c r="H48" s="133">
        <f>IF('All A - ESITO 2010 comp reg'!S48&gt;'ALL B - ESITO 2010 comp ASL'!U48,'ALL B - ESITO 2010 comp ASL'!U48,'All A - ESITO 2010 comp reg'!S48)</f>
        <v>154821.8</v>
      </c>
      <c r="I48" s="134">
        <f>+'All A - ESITO 2010 comp reg'!Q48+'All A - ESITO 2010 comp reg'!O48-'All C - comp e acc.to'!H48</f>
        <v>13713.410000000003</v>
      </c>
      <c r="J48" s="134">
        <f>+'ALL B - ESITO 2010 comp ASL'!U48-'All A - ESITO 2010 comp reg'!S48</f>
        <v>230780.03094651253</v>
      </c>
      <c r="K48" s="62"/>
      <c r="L48" s="2"/>
      <c r="M48" s="87">
        <f>+'All A - ESITO 2010 comp reg'!Q48+'All A - ESITO 2010 comp reg'!O48</f>
        <v>168535.21</v>
      </c>
      <c r="N48" s="87">
        <f>+'All A - ESITO 2010 comp reg'!R48+'All A - ESITO 2010 comp reg'!O48</f>
        <v>154821.8</v>
      </c>
      <c r="O48" s="87">
        <f>+'ALL B - ESITO 2010 comp ASL'!P48+'ALL B - ESITO 2010 comp ASL'!S48+'All A - ESITO 2010 comp reg'!O48</f>
        <v>490981.19000000035</v>
      </c>
      <c r="P48" s="87">
        <f>+'ALL B - ESITO 2010 comp ASL'!Q48+'ALL B - ESITO 2010 comp ASL'!T48+'All A - ESITO 2010 comp reg'!O48</f>
        <v>385601.8309465125</v>
      </c>
      <c r="Q48" s="87">
        <f t="shared" si="7"/>
        <v>490981.19000000035</v>
      </c>
      <c r="R48" s="87">
        <f t="shared" si="8"/>
        <v>336159.39000000036</v>
      </c>
      <c r="S48" s="87"/>
      <c r="FP48" s="3"/>
      <c r="FQ48" s="3"/>
      <c r="FR48" s="3"/>
      <c r="FS48" s="3"/>
      <c r="FT48" s="3"/>
      <c r="FU48" s="3"/>
      <c r="FV48" s="3"/>
      <c r="FW48" s="3"/>
    </row>
    <row r="49" spans="1:19" s="3" customFormat="1" ht="12.75" customHeight="1">
      <c r="A49" s="61">
        <v>150104</v>
      </c>
      <c r="B49" s="35" t="s">
        <v>36</v>
      </c>
      <c r="C49" s="36"/>
      <c r="D49" s="132">
        <f>+'All A - ESITO 2010 comp reg'!K49</f>
        <v>5784260.430000001</v>
      </c>
      <c r="E49" s="132">
        <f>+'All A - ESITO 2010 comp reg'!L49</f>
        <v>6000000</v>
      </c>
      <c r="F49" s="132">
        <f>+'All A - ESITO 2010 comp reg'!M49</f>
        <v>0</v>
      </c>
      <c r="G49" s="132">
        <f>+'All A - ESITO 2010 comp reg'!N49</f>
        <v>0</v>
      </c>
      <c r="H49" s="133">
        <f>IF('All A - ESITO 2010 comp reg'!S49&gt;'ALL B - ESITO 2010 comp ASL'!U49,'ALL B - ESITO 2010 comp ASL'!U49,'All A - ESITO 2010 comp reg'!S49)</f>
        <v>0</v>
      </c>
      <c r="I49" s="134">
        <f>+'All A - ESITO 2010 comp reg'!Q49+'All A - ESITO 2010 comp reg'!O49-'All C - comp e acc.to'!H49</f>
        <v>0</v>
      </c>
      <c r="J49" s="134">
        <f>+'ALL B - ESITO 2010 comp ASL'!U49-'All A - ESITO 2010 comp reg'!S49</f>
        <v>0</v>
      </c>
      <c r="K49" s="62"/>
      <c r="L49" s="2"/>
      <c r="M49" s="87">
        <f>+'All A - ESITO 2010 comp reg'!Q49+'All A - ESITO 2010 comp reg'!O49</f>
        <v>0</v>
      </c>
      <c r="N49" s="87">
        <f>+'All A - ESITO 2010 comp reg'!R49+'All A - ESITO 2010 comp reg'!O49</f>
        <v>0</v>
      </c>
      <c r="O49" s="87">
        <f>+'ALL B - ESITO 2010 comp ASL'!P49+'ALL B - ESITO 2010 comp ASL'!S49+'All A - ESITO 2010 comp reg'!O49</f>
        <v>0</v>
      </c>
      <c r="P49" s="87">
        <f>+'ALL B - ESITO 2010 comp ASL'!Q49+'ALL B - ESITO 2010 comp ASL'!T49+'All A - ESITO 2010 comp reg'!O49</f>
        <v>0</v>
      </c>
      <c r="Q49" s="87">
        <f t="shared" si="7"/>
        <v>0</v>
      </c>
      <c r="R49" s="87">
        <f t="shared" si="8"/>
        <v>0</v>
      </c>
      <c r="S49" s="87"/>
    </row>
    <row r="50" spans="1:19" s="3" customFormat="1" ht="12.75" customHeight="1">
      <c r="A50" s="61">
        <v>150106</v>
      </c>
      <c r="B50" s="32" t="s">
        <v>43</v>
      </c>
      <c r="C50" s="24" t="s">
        <v>106</v>
      </c>
      <c r="D50" s="132">
        <f>+'All A - ESITO 2010 comp reg'!K50</f>
        <v>6420844.11</v>
      </c>
      <c r="E50" s="132">
        <f>+'All A - ESITO 2010 comp reg'!L50</f>
        <v>6700000</v>
      </c>
      <c r="F50" s="132">
        <f>+'All A - ESITO 2010 comp reg'!M50</f>
        <v>0</v>
      </c>
      <c r="G50" s="132">
        <f>+'All A - ESITO 2010 comp reg'!N50</f>
        <v>300127.8300000001</v>
      </c>
      <c r="H50" s="133">
        <f>IF('All A - ESITO 2010 comp reg'!S50&gt;'ALL B - ESITO 2010 comp ASL'!U50,'ALL B - ESITO 2010 comp ASL'!U50,'All A - ESITO 2010 comp reg'!S50)</f>
        <v>0</v>
      </c>
      <c r="I50" s="134">
        <f>+'All A - ESITO 2010 comp reg'!Q50+'All A - ESITO 2010 comp reg'!O50-'All C - comp e acc.to'!H50</f>
        <v>279155.89</v>
      </c>
      <c r="J50" s="134">
        <f>+'ALL B - ESITO 2010 comp ASL'!U50-'All A - ESITO 2010 comp reg'!S50</f>
        <v>0</v>
      </c>
      <c r="K50" s="62" t="s">
        <v>131</v>
      </c>
      <c r="L50" s="2"/>
      <c r="M50" s="87">
        <f>+'All A - ESITO 2010 comp reg'!Q50+'All A - ESITO 2010 comp reg'!O50</f>
        <v>279155.89</v>
      </c>
      <c r="N50" s="87">
        <f>+'All A - ESITO 2010 comp reg'!R50+'All A - ESITO 2010 comp reg'!O50</f>
        <v>373795.63</v>
      </c>
      <c r="O50" s="87">
        <f>+'ALL B - ESITO 2010 comp ASL'!P50+'ALL B - ESITO 2010 comp ASL'!S50+'All A - ESITO 2010 comp reg'!O50</f>
        <v>279155.89</v>
      </c>
      <c r="P50" s="87">
        <f>+'ALL B - ESITO 2010 comp ASL'!Q50+'ALL B - ESITO 2010 comp ASL'!T50+'All A - ESITO 2010 comp reg'!O50</f>
        <v>525646.3226506289</v>
      </c>
      <c r="Q50" s="87">
        <f t="shared" si="7"/>
        <v>525646.3226506289</v>
      </c>
      <c r="R50" s="87">
        <f t="shared" si="8"/>
        <v>525646.3226506289</v>
      </c>
      <c r="S50" s="87"/>
    </row>
    <row r="51" spans="1:19" s="3" customFormat="1" ht="12.75" customHeight="1">
      <c r="A51" s="61">
        <v>150109</v>
      </c>
      <c r="B51" s="32" t="s">
        <v>40</v>
      </c>
      <c r="C51" s="33"/>
      <c r="D51" s="132">
        <f>+'All A - ESITO 2010 comp reg'!K51</f>
        <v>11719014.159999998</v>
      </c>
      <c r="E51" s="132">
        <f>+'All A - ESITO 2010 comp reg'!L51</f>
        <v>12000000</v>
      </c>
      <c r="F51" s="132">
        <f>+'All A - ESITO 2010 comp reg'!M51</f>
        <v>0</v>
      </c>
      <c r="G51" s="132">
        <f>+'All A - ESITO 2010 comp reg'!N51</f>
        <v>0</v>
      </c>
      <c r="H51" s="133">
        <f>IF('All A - ESITO 2010 comp reg'!S51&gt;'ALL B - ESITO 2010 comp ASL'!U51,'ALL B - ESITO 2010 comp ASL'!U51,'All A - ESITO 2010 comp reg'!S51)</f>
        <v>0</v>
      </c>
      <c r="I51" s="134">
        <f>+'All A - ESITO 2010 comp reg'!Q51+'All A - ESITO 2010 comp reg'!O51-'All C - comp e acc.to'!H51</f>
        <v>0</v>
      </c>
      <c r="J51" s="134">
        <f>+'ALL B - ESITO 2010 comp ASL'!U51-'All A - ESITO 2010 comp reg'!S51</f>
        <v>0</v>
      </c>
      <c r="K51" s="62" t="s">
        <v>117</v>
      </c>
      <c r="L51" s="2"/>
      <c r="M51" s="87">
        <f>+'All A - ESITO 2010 comp reg'!Q51+'All A - ESITO 2010 comp reg'!O51</f>
        <v>0</v>
      </c>
      <c r="N51" s="87">
        <f>+'All A - ESITO 2010 comp reg'!R51+'All A - ESITO 2010 comp reg'!O51</f>
        <v>0</v>
      </c>
      <c r="O51" s="87">
        <f>+'ALL B - ESITO 2010 comp ASL'!P51+'ALL B - ESITO 2010 comp ASL'!S51+'All A - ESITO 2010 comp reg'!O51</f>
        <v>0</v>
      </c>
      <c r="P51" s="87">
        <f>+'ALL B - ESITO 2010 comp ASL'!Q51+'ALL B - ESITO 2010 comp ASL'!T51+'All A - ESITO 2010 comp reg'!O51</f>
        <v>0</v>
      </c>
      <c r="Q51" s="87">
        <f t="shared" si="7"/>
        <v>0</v>
      </c>
      <c r="R51" s="87">
        <f t="shared" si="8"/>
        <v>0</v>
      </c>
      <c r="S51" s="87"/>
    </row>
    <row r="52" spans="1:19" s="3" customFormat="1" ht="12.75" customHeight="1">
      <c r="A52" s="61">
        <v>150111</v>
      </c>
      <c r="B52" s="26" t="s">
        <v>33</v>
      </c>
      <c r="C52" s="39"/>
      <c r="D52" s="132">
        <f>+'All A - ESITO 2010 comp reg'!K52</f>
        <v>6302516.68</v>
      </c>
      <c r="E52" s="132">
        <f>+'All A - ESITO 2010 comp reg'!L52</f>
        <v>6800000</v>
      </c>
      <c r="F52" s="132">
        <f>+'All A - ESITO 2010 comp reg'!M52</f>
        <v>0</v>
      </c>
      <c r="G52" s="132">
        <f>+'All A - ESITO 2010 comp reg'!N52</f>
        <v>0</v>
      </c>
      <c r="H52" s="133">
        <f>IF('All A - ESITO 2010 comp reg'!S52&gt;'ALL B - ESITO 2010 comp ASL'!U52,'ALL B - ESITO 2010 comp ASL'!U52,'All A - ESITO 2010 comp reg'!S52)</f>
        <v>0</v>
      </c>
      <c r="I52" s="134">
        <f>+'All A - ESITO 2010 comp reg'!Q52+'All A - ESITO 2010 comp reg'!O52-'All C - comp e acc.to'!H52</f>
        <v>0</v>
      </c>
      <c r="J52" s="134">
        <f>+'ALL B - ESITO 2010 comp ASL'!U52-'All A - ESITO 2010 comp reg'!S52</f>
        <v>0</v>
      </c>
      <c r="K52" s="62"/>
      <c r="L52" s="2"/>
      <c r="M52" s="87">
        <f>+'All A - ESITO 2010 comp reg'!Q52+'All A - ESITO 2010 comp reg'!O52</f>
        <v>0</v>
      </c>
      <c r="N52" s="87">
        <f>+'All A - ESITO 2010 comp reg'!R52+'All A - ESITO 2010 comp reg'!O52</f>
        <v>0</v>
      </c>
      <c r="O52" s="87">
        <f>+'ALL B - ESITO 2010 comp ASL'!P52+'ALL B - ESITO 2010 comp ASL'!S52+'All A - ESITO 2010 comp reg'!O52</f>
        <v>0</v>
      </c>
      <c r="P52" s="87">
        <f>+'ALL B - ESITO 2010 comp ASL'!Q52+'ALL B - ESITO 2010 comp ASL'!T52+'All A - ESITO 2010 comp reg'!O52</f>
        <v>0</v>
      </c>
      <c r="Q52" s="87">
        <f t="shared" si="7"/>
        <v>0</v>
      </c>
      <c r="R52" s="87">
        <f t="shared" si="8"/>
        <v>0</v>
      </c>
      <c r="S52" s="87"/>
    </row>
    <row r="53" spans="1:19" s="3" customFormat="1" ht="12.75" customHeight="1">
      <c r="A53" s="61">
        <v>150120</v>
      </c>
      <c r="B53" s="32" t="s">
        <v>42</v>
      </c>
      <c r="C53" s="33"/>
      <c r="D53" s="132">
        <f>+'All A - ESITO 2010 comp reg'!K53</f>
        <v>2968319.55</v>
      </c>
      <c r="E53" s="132">
        <f>+'All A - ESITO 2010 comp reg'!L53</f>
        <v>3000000</v>
      </c>
      <c r="F53" s="132">
        <f>+'All A - ESITO 2010 comp reg'!M53</f>
        <v>0</v>
      </c>
      <c r="G53" s="132">
        <f>+'All A - ESITO 2010 comp reg'!N53</f>
        <v>0</v>
      </c>
      <c r="H53" s="133">
        <f>IF('All A - ESITO 2010 comp reg'!S53&gt;'ALL B - ESITO 2010 comp ASL'!U53,'ALL B - ESITO 2010 comp ASL'!U53,'All A - ESITO 2010 comp reg'!S53)</f>
        <v>0</v>
      </c>
      <c r="I53" s="134">
        <f>+'All A - ESITO 2010 comp reg'!Q53+'All A - ESITO 2010 comp reg'!O53-'All C - comp e acc.to'!H53</f>
        <v>0</v>
      </c>
      <c r="J53" s="134">
        <f>+'ALL B - ESITO 2010 comp ASL'!U53-'All A - ESITO 2010 comp reg'!S53</f>
        <v>0</v>
      </c>
      <c r="K53" s="62"/>
      <c r="L53" s="2"/>
      <c r="M53" s="87">
        <f>+'All A - ESITO 2010 comp reg'!Q53+'All A - ESITO 2010 comp reg'!O53</f>
        <v>0</v>
      </c>
      <c r="N53" s="87">
        <f>+'All A - ESITO 2010 comp reg'!R53+'All A - ESITO 2010 comp reg'!O53</f>
        <v>0</v>
      </c>
      <c r="O53" s="87">
        <f>+'ALL B - ESITO 2010 comp ASL'!P53+'ALL B - ESITO 2010 comp ASL'!S53+'All A - ESITO 2010 comp reg'!O53</f>
        <v>0</v>
      </c>
      <c r="P53" s="87">
        <f>+'ALL B - ESITO 2010 comp ASL'!Q53+'ALL B - ESITO 2010 comp ASL'!T53+'All A - ESITO 2010 comp reg'!O53</f>
        <v>0</v>
      </c>
      <c r="Q53" s="87">
        <f t="shared" si="7"/>
        <v>0</v>
      </c>
      <c r="R53" s="87">
        <f t="shared" si="8"/>
        <v>0</v>
      </c>
      <c r="S53" s="87"/>
    </row>
    <row r="54" spans="1:19" s="3" customFormat="1" ht="15.75" customHeight="1">
      <c r="A54" s="56"/>
      <c r="B54" s="26" t="s">
        <v>14</v>
      </c>
      <c r="C54" s="27"/>
      <c r="D54" s="64">
        <f aca="true" t="shared" si="9" ref="D54:J54">SUM(D38:D53)</f>
        <v>137811875.662</v>
      </c>
      <c r="E54" s="64">
        <f t="shared" si="9"/>
        <v>138250000</v>
      </c>
      <c r="F54" s="64">
        <f t="shared" si="9"/>
        <v>3682452.6740000015</v>
      </c>
      <c r="G54" s="64">
        <f t="shared" si="9"/>
        <v>1208772.84</v>
      </c>
      <c r="H54" s="95">
        <f t="shared" si="9"/>
        <v>1161536.96</v>
      </c>
      <c r="I54" s="95">
        <f t="shared" si="9"/>
        <v>381665.22000000003</v>
      </c>
      <c r="J54" s="95">
        <f t="shared" si="9"/>
        <v>1733192.8916186525</v>
      </c>
      <c r="K54" s="65"/>
      <c r="L54" s="2"/>
      <c r="S54" s="87"/>
    </row>
    <row r="55" spans="1:19" s="3" customFormat="1" ht="6" customHeight="1">
      <c r="A55" s="56"/>
      <c r="B55" s="26"/>
      <c r="C55" s="34"/>
      <c r="D55" s="104"/>
      <c r="E55" s="104"/>
      <c r="F55" s="104"/>
      <c r="G55" s="104"/>
      <c r="H55" s="104"/>
      <c r="I55" s="104"/>
      <c r="J55" s="104"/>
      <c r="K55" s="104"/>
      <c r="L55" s="2"/>
      <c r="S55" s="87"/>
    </row>
    <row r="56" spans="1:19" s="3" customFormat="1" ht="15.75" customHeight="1">
      <c r="A56" s="40" t="s">
        <v>45</v>
      </c>
      <c r="B56" s="37"/>
      <c r="C56" s="38"/>
      <c r="D56" s="90"/>
      <c r="E56" s="90"/>
      <c r="F56" s="90"/>
      <c r="G56" s="90"/>
      <c r="H56" s="90"/>
      <c r="I56" s="90"/>
      <c r="J56" s="90"/>
      <c r="K56" s="90"/>
      <c r="L56" s="2"/>
      <c r="S56" s="87"/>
    </row>
    <row r="57" spans="1:19" s="3" customFormat="1" ht="12.75" customHeight="1">
      <c r="A57" s="61">
        <v>150084</v>
      </c>
      <c r="B57" s="35" t="s">
        <v>84</v>
      </c>
      <c r="C57" s="36"/>
      <c r="D57" s="132">
        <f>+'All A - ESITO 2010 comp reg'!K57</f>
        <v>30372491.599999998</v>
      </c>
      <c r="E57" s="132">
        <f>+'All A - ESITO 2010 comp reg'!L57</f>
        <v>29000000</v>
      </c>
      <c r="F57" s="132">
        <f>+'All A - ESITO 2010 comp reg'!M57</f>
        <v>1372491.5999999978</v>
      </c>
      <c r="G57" s="132">
        <f>+'All A - ESITO 2010 comp reg'!N57</f>
        <v>0</v>
      </c>
      <c r="H57" s="133">
        <f>IF('All A - ESITO 2010 comp reg'!S57&gt;'ALL B - ESITO 2010 comp ASL'!U57,'ALL B - ESITO 2010 comp ASL'!U57,'All A - ESITO 2010 comp reg'!S57)</f>
        <v>230344.24701509986</v>
      </c>
      <c r="I57" s="134">
        <f>+'All A - ESITO 2010 comp reg'!Q57+'All A - ESITO 2010 comp reg'!O57-'All C - comp e acc.to'!H57</f>
        <v>240780.04298490012</v>
      </c>
      <c r="J57" s="134">
        <f>+'ALL B - ESITO 2010 comp ASL'!U57-'All A - ESITO 2010 comp reg'!S57</f>
        <v>-202445.49298490013</v>
      </c>
      <c r="K57" s="62"/>
      <c r="L57" s="2"/>
      <c r="M57" s="87">
        <f>+'All A - ESITO 2010 comp reg'!Q57+'All A - ESITO 2010 comp reg'!O57</f>
        <v>471124.29</v>
      </c>
      <c r="N57" s="87">
        <f>+'All A - ESITO 2010 comp reg'!R57+'All A - ESITO 2010 comp reg'!O57</f>
        <v>432789.74</v>
      </c>
      <c r="O57" s="87">
        <f>+'ALL B - ESITO 2010 comp ASL'!P57+'ALL B - ESITO 2010 comp ASL'!S57+'All A - ESITO 2010 comp reg'!O57</f>
        <v>257986.20702056796</v>
      </c>
      <c r="P57" s="87">
        <f>+'ALL B - ESITO 2010 comp ASL'!Q57+'ALL B - ESITO 2010 comp ASL'!T57+'All A - ESITO 2010 comp reg'!O57</f>
        <v>230344.24701509986</v>
      </c>
      <c r="Q57" s="87">
        <f>MAX(M57:P57)</f>
        <v>471124.29</v>
      </c>
      <c r="R57" s="87">
        <f>+Q57-H57</f>
        <v>240780.04298490012</v>
      </c>
      <c r="S57" s="87"/>
    </row>
    <row r="58" spans="1:19" s="3" customFormat="1" ht="12.75" customHeight="1">
      <c r="A58" s="61">
        <v>150097</v>
      </c>
      <c r="B58" s="35" t="s">
        <v>47</v>
      </c>
      <c r="C58" s="24" t="s">
        <v>105</v>
      </c>
      <c r="D58" s="132">
        <f>+'All A - ESITO 2010 comp reg'!K58</f>
        <v>4321650.79368</v>
      </c>
      <c r="E58" s="132">
        <f>+'All A - ESITO 2010 comp reg'!L58</f>
        <v>3900000</v>
      </c>
      <c r="F58" s="132">
        <f>+'All A - ESITO 2010 comp reg'!M58</f>
        <v>421650.7936800001</v>
      </c>
      <c r="G58" s="132">
        <f>+'All A - ESITO 2010 comp reg'!N58</f>
        <v>135634.64</v>
      </c>
      <c r="H58" s="133">
        <f>IF('All A - ESITO 2010 comp reg'!S58&gt;'ALL B - ESITO 2010 comp ASL'!U58,'ALL B - ESITO 2010 comp ASL'!U58,'All A - ESITO 2010 comp reg'!S58)</f>
        <v>79257.377840208</v>
      </c>
      <c r="I58" s="134">
        <f>+'All A - ESITO 2010 comp reg'!Q58+'All A - ESITO 2010 comp reg'!O58-'All C - comp e acc.to'!H58</f>
        <v>65479.342159791995</v>
      </c>
      <c r="J58" s="134">
        <f>+'ALL B - ESITO 2010 comp ASL'!U58-'All A - ESITO 2010 comp reg'!S58</f>
        <v>-65479.342159791995</v>
      </c>
      <c r="K58" s="92" t="s">
        <v>122</v>
      </c>
      <c r="L58" s="2"/>
      <c r="M58" s="87">
        <f>+'All A - ESITO 2010 comp reg'!Q58+'All A - ESITO 2010 comp reg'!O58</f>
        <v>144736.72</v>
      </c>
      <c r="N58" s="87">
        <f>+'All A - ESITO 2010 comp reg'!R58+'All A - ESITO 2010 comp reg'!O58</f>
        <v>175729.61</v>
      </c>
      <c r="O58" s="87">
        <f>+'ALL B - ESITO 2010 comp ASL'!P58+'ALL B - ESITO 2010 comp ASL'!S58+'All A - ESITO 2010 comp reg'!O58</f>
        <v>79257.377840208</v>
      </c>
      <c r="P58" s="87">
        <f>+'ALL B - ESITO 2010 comp ASL'!Q58+'ALL B - ESITO 2010 comp ASL'!T58+'All A - ESITO 2010 comp reg'!O58</f>
        <v>94444.4579742787</v>
      </c>
      <c r="Q58" s="87">
        <f>MAX(M58:P58)</f>
        <v>175729.61</v>
      </c>
      <c r="R58" s="87">
        <f>+Q58-H58</f>
        <v>96472.23215979198</v>
      </c>
      <c r="S58" s="87"/>
    </row>
    <row r="59" spans="1:19" s="3" customFormat="1" ht="12.75" customHeight="1">
      <c r="A59" s="61">
        <v>150101</v>
      </c>
      <c r="B59" s="32" t="s">
        <v>48</v>
      </c>
      <c r="C59" s="33"/>
      <c r="D59" s="132">
        <f>+'All A - ESITO 2010 comp reg'!K59</f>
        <v>2943902.5900000003</v>
      </c>
      <c r="E59" s="132">
        <f>+'All A - ESITO 2010 comp reg'!L59</f>
        <v>2900000</v>
      </c>
      <c r="F59" s="132">
        <f>+'All A - ESITO 2010 comp reg'!M59</f>
        <v>43902.59000000032</v>
      </c>
      <c r="G59" s="132">
        <f>+'All A - ESITO 2010 comp reg'!N59</f>
        <v>0</v>
      </c>
      <c r="H59" s="133">
        <f>IF('All A - ESITO 2010 comp reg'!S59&gt;'ALL B - ESITO 2010 comp ASL'!U59,'ALL B - ESITO 2010 comp ASL'!U59,'All A - ESITO 2010 comp reg'!S59)</f>
        <v>7368.139162292844</v>
      </c>
      <c r="I59" s="134">
        <f>+'All A - ESITO 2010 comp reg'!Q59+'All A - ESITO 2010 comp reg'!O59-'All C - comp e acc.to'!H59</f>
        <v>7701.950837707156</v>
      </c>
      <c r="J59" s="134">
        <f>+'ALL B - ESITO 2010 comp ASL'!U59-'All A - ESITO 2010 comp reg'!S59</f>
        <v>-6475.730837707157</v>
      </c>
      <c r="K59" s="62"/>
      <c r="L59" s="2"/>
      <c r="M59" s="87">
        <f>+'All A - ESITO 2010 comp reg'!Q59+'All A - ESITO 2010 comp reg'!O59</f>
        <v>15070.09</v>
      </c>
      <c r="N59" s="87">
        <f>+'All A - ESITO 2010 comp reg'!R59+'All A - ESITO 2010 comp reg'!O59</f>
        <v>13843.87</v>
      </c>
      <c r="O59" s="87">
        <f>+'ALL B - ESITO 2010 comp ASL'!P59+'ALL B - ESITO 2010 comp ASL'!S59+'All A - ESITO 2010 comp reg'!O59</f>
        <v>8252.33513922176</v>
      </c>
      <c r="P59" s="87">
        <f>+'ALL B - ESITO 2010 comp ASL'!Q59+'ALL B - ESITO 2010 comp ASL'!T59+'All A - ESITO 2010 comp reg'!O59</f>
        <v>7368.139162292844</v>
      </c>
      <c r="Q59" s="87">
        <f>MAX(M59:P59)</f>
        <v>15070.09</v>
      </c>
      <c r="R59" s="87">
        <f>+Q59-H59</f>
        <v>7701.950837707156</v>
      </c>
      <c r="S59" s="87"/>
    </row>
    <row r="60" spans="1:19" s="3" customFormat="1" ht="12.75" customHeight="1">
      <c r="A60" s="61">
        <v>150116</v>
      </c>
      <c r="B60" s="35" t="s">
        <v>46</v>
      </c>
      <c r="C60" s="36"/>
      <c r="D60" s="132">
        <f>+'All A - ESITO 2010 comp reg'!K60</f>
        <v>16660960.900000002</v>
      </c>
      <c r="E60" s="132">
        <f>+'All A - ESITO 2010 comp reg'!L60</f>
        <v>17000000</v>
      </c>
      <c r="F60" s="132">
        <f>+'All A - ESITO 2010 comp reg'!M60</f>
        <v>0</v>
      </c>
      <c r="G60" s="132">
        <f>+'All A - ESITO 2010 comp reg'!N60</f>
        <v>0</v>
      </c>
      <c r="H60" s="133">
        <f>IF('All A - ESITO 2010 comp reg'!S60&gt;'ALL B - ESITO 2010 comp ASL'!U60,'ALL B - ESITO 2010 comp ASL'!U60,'All A - ESITO 2010 comp reg'!S60)</f>
        <v>0</v>
      </c>
      <c r="I60" s="134">
        <f>+'All A - ESITO 2010 comp reg'!Q60+'All A - ESITO 2010 comp reg'!O60-'All C - comp e acc.to'!H60</f>
        <v>65358.41</v>
      </c>
      <c r="J60" s="134">
        <f>+'ALL B - ESITO 2010 comp ASL'!U60-'All A - ESITO 2010 comp reg'!S60</f>
        <v>0</v>
      </c>
      <c r="K60" s="92" t="s">
        <v>121</v>
      </c>
      <c r="L60" s="2"/>
      <c r="M60" s="87">
        <f>+'All A - ESITO 2010 comp reg'!Q60+'All A - ESITO 2010 comp reg'!O60</f>
        <v>65358.41</v>
      </c>
      <c r="N60" s="87">
        <f>+'All A - ESITO 2010 comp reg'!R60+'All A - ESITO 2010 comp reg'!O60</f>
        <v>65358.41</v>
      </c>
      <c r="O60" s="87">
        <f>+'ALL B - ESITO 2010 comp ASL'!P60+'ALL B - ESITO 2010 comp ASL'!S60+'All A - ESITO 2010 comp reg'!O60</f>
        <v>65358.41</v>
      </c>
      <c r="P60" s="87">
        <f>+'ALL B - ESITO 2010 comp ASL'!Q60+'ALL B - ESITO 2010 comp ASL'!T60+'All A - ESITO 2010 comp reg'!O60</f>
        <v>65358.41</v>
      </c>
      <c r="Q60" s="87">
        <f>MAX(M60:P60)</f>
        <v>65358.41</v>
      </c>
      <c r="R60" s="87">
        <f>+Q60-H60</f>
        <v>65358.41</v>
      </c>
      <c r="S60" s="87"/>
    </row>
    <row r="61" spans="1:19" s="3" customFormat="1" ht="15.75" customHeight="1">
      <c r="A61" s="56"/>
      <c r="B61" s="26" t="s">
        <v>14</v>
      </c>
      <c r="C61" s="27"/>
      <c r="D61" s="64">
        <f aca="true" t="shared" si="10" ref="D61:J61">SUM(D57:D60)</f>
        <v>54299005.88368</v>
      </c>
      <c r="E61" s="64">
        <f t="shared" si="10"/>
        <v>52800000</v>
      </c>
      <c r="F61" s="64">
        <f t="shared" si="10"/>
        <v>1838044.9836799982</v>
      </c>
      <c r="G61" s="64">
        <f t="shared" si="10"/>
        <v>135634.64</v>
      </c>
      <c r="H61" s="95">
        <f t="shared" si="10"/>
        <v>316969.7640176007</v>
      </c>
      <c r="I61" s="95">
        <f t="shared" si="10"/>
        <v>379319.7459823993</v>
      </c>
      <c r="J61" s="95">
        <f t="shared" si="10"/>
        <v>-274400.5659823993</v>
      </c>
      <c r="K61" s="65"/>
      <c r="L61" s="2"/>
      <c r="S61" s="87"/>
    </row>
    <row r="62" spans="1:19" s="3" customFormat="1" ht="6" customHeight="1">
      <c r="A62" s="56"/>
      <c r="B62" s="26"/>
      <c r="C62" s="34"/>
      <c r="D62" s="104"/>
      <c r="E62" s="104"/>
      <c r="F62" s="104"/>
      <c r="G62" s="104"/>
      <c r="H62" s="104"/>
      <c r="I62" s="104"/>
      <c r="J62" s="104"/>
      <c r="K62" s="104"/>
      <c r="L62" s="2"/>
      <c r="S62" s="87"/>
    </row>
    <row r="63" spans="1:19" s="3" customFormat="1" ht="15.75" customHeight="1">
      <c r="A63" s="40" t="s">
        <v>49</v>
      </c>
      <c r="B63" s="37"/>
      <c r="C63" s="38"/>
      <c r="D63" s="90"/>
      <c r="E63" s="90"/>
      <c r="F63" s="90"/>
      <c r="G63" s="90"/>
      <c r="H63" s="90"/>
      <c r="I63" s="90"/>
      <c r="J63" s="90"/>
      <c r="K63" s="90"/>
      <c r="L63" s="2"/>
      <c r="S63" s="87"/>
    </row>
    <row r="64" spans="1:19" s="3" customFormat="1" ht="12.75" customHeight="1">
      <c r="A64" s="61">
        <v>150082</v>
      </c>
      <c r="B64" s="32" t="s">
        <v>53</v>
      </c>
      <c r="C64" s="24" t="s">
        <v>103</v>
      </c>
      <c r="D64" s="132">
        <f>+'All A - ESITO 2010 comp reg'!K64</f>
        <v>4059871.380000001</v>
      </c>
      <c r="E64" s="132">
        <f>+'All A - ESITO 2010 comp reg'!L64</f>
        <v>3300000</v>
      </c>
      <c r="F64" s="132">
        <f>+'All A - ESITO 2010 comp reg'!M64</f>
        <v>759871.3800000008</v>
      </c>
      <c r="G64" s="132">
        <f>+'All A - ESITO 2010 comp reg'!N64</f>
        <v>0</v>
      </c>
      <c r="H64" s="133">
        <f>IF('All A - ESITO 2010 comp reg'!S64&gt;'ALL B - ESITO 2010 comp ASL'!U64,'ALL B - ESITO 2010 comp ASL'!U64,'All A - ESITO 2010 comp reg'!S64)</f>
        <v>239611.33</v>
      </c>
      <c r="I64" s="134">
        <f>+'All A - ESITO 2010 comp reg'!Q64+'All A - ESITO 2010 comp reg'!O64-'All C - comp e acc.to'!H64</f>
        <v>21223.680000000022</v>
      </c>
      <c r="J64" s="134">
        <f>+'ALL B - ESITO 2010 comp ASL'!U64-'All A - ESITO 2010 comp reg'!S64</f>
        <v>21415.40882656214</v>
      </c>
      <c r="K64" s="62"/>
      <c r="L64" s="2"/>
      <c r="M64" s="87">
        <f>+'All A - ESITO 2010 comp reg'!Q64+'All A - ESITO 2010 comp reg'!O64</f>
        <v>260835.01</v>
      </c>
      <c r="N64" s="87">
        <f>+'All A - ESITO 2010 comp reg'!R64+'All A - ESITO 2010 comp reg'!O64</f>
        <v>239611.33</v>
      </c>
      <c r="O64" s="87">
        <f>+'ALL B - ESITO 2010 comp ASL'!P64+'ALL B - ESITO 2010 comp ASL'!S64+'All A - ESITO 2010 comp reg'!O64</f>
        <v>267752.1153596568</v>
      </c>
      <c r="P64" s="87">
        <f>+'ALL B - ESITO 2010 comp ASL'!Q64+'ALL B - ESITO 2010 comp ASL'!T64+'All A - ESITO 2010 comp reg'!O64</f>
        <v>261026.73882656213</v>
      </c>
      <c r="Q64" s="87">
        <f aca="true" t="shared" si="11" ref="Q64:Q76">MAX(M64:P64)</f>
        <v>267752.1153596568</v>
      </c>
      <c r="R64" s="87">
        <f aca="true" t="shared" si="12" ref="R64:R76">+Q64-H64</f>
        <v>28140.785359656817</v>
      </c>
      <c r="S64" s="87"/>
    </row>
    <row r="65" spans="1:19" s="3" customFormat="1" ht="12.75" customHeight="1">
      <c r="A65" s="61">
        <v>150100</v>
      </c>
      <c r="B65" s="32" t="s">
        <v>56</v>
      </c>
      <c r="C65" s="33"/>
      <c r="D65" s="132">
        <f>+'All A - ESITO 2010 comp reg'!K65</f>
        <v>11097078.9</v>
      </c>
      <c r="E65" s="132">
        <f>+'All A - ESITO 2010 comp reg'!L65</f>
        <v>11500000</v>
      </c>
      <c r="F65" s="132">
        <f>+'All A - ESITO 2010 comp reg'!M65</f>
        <v>0</v>
      </c>
      <c r="G65" s="132">
        <f>+'All A - ESITO 2010 comp reg'!N65</f>
        <v>0</v>
      </c>
      <c r="H65" s="133">
        <f>IF('All A - ESITO 2010 comp reg'!S65&gt;'ALL B - ESITO 2010 comp ASL'!U65,'ALL B - ESITO 2010 comp ASL'!U65,'All A - ESITO 2010 comp reg'!S65)</f>
        <v>0</v>
      </c>
      <c r="I65" s="134">
        <f>+'All A - ESITO 2010 comp reg'!Q65+'All A - ESITO 2010 comp reg'!O65-'All C - comp e acc.to'!H65</f>
        <v>0</v>
      </c>
      <c r="J65" s="134">
        <f>+'ALL B - ESITO 2010 comp ASL'!U65-'All A - ESITO 2010 comp reg'!S65</f>
        <v>0</v>
      </c>
      <c r="K65" s="62"/>
      <c r="L65" s="2"/>
      <c r="M65" s="87">
        <f>+'All A - ESITO 2010 comp reg'!Q65+'All A - ESITO 2010 comp reg'!O65</f>
        <v>0</v>
      </c>
      <c r="N65" s="87">
        <f>+'All A - ESITO 2010 comp reg'!R65+'All A - ESITO 2010 comp reg'!O65</f>
        <v>0</v>
      </c>
      <c r="O65" s="87">
        <f>+'ALL B - ESITO 2010 comp ASL'!P65+'ALL B - ESITO 2010 comp ASL'!S65+'All A - ESITO 2010 comp reg'!O65</f>
        <v>0</v>
      </c>
      <c r="P65" s="87">
        <f>+'ALL B - ESITO 2010 comp ASL'!Q65+'ALL B - ESITO 2010 comp ASL'!T65+'All A - ESITO 2010 comp reg'!O65</f>
        <v>0</v>
      </c>
      <c r="Q65" s="87">
        <f t="shared" si="11"/>
        <v>0</v>
      </c>
      <c r="R65" s="87">
        <f t="shared" si="12"/>
        <v>0</v>
      </c>
      <c r="S65" s="87"/>
    </row>
    <row r="66" spans="1:19" s="3" customFormat="1" ht="12.75" customHeight="1">
      <c r="A66" s="61">
        <v>150102</v>
      </c>
      <c r="B66" s="32" t="s">
        <v>59</v>
      </c>
      <c r="C66" s="33"/>
      <c r="D66" s="132">
        <f>+'All A - ESITO 2010 comp reg'!K66</f>
        <v>3290081.9499999997</v>
      </c>
      <c r="E66" s="132">
        <f>+'All A - ESITO 2010 comp reg'!L66</f>
        <v>3100000</v>
      </c>
      <c r="F66" s="132">
        <f>+'All A - ESITO 2010 comp reg'!M66</f>
        <v>190081.94999999972</v>
      </c>
      <c r="G66" s="132">
        <f>+'All A - ESITO 2010 comp reg'!N66</f>
        <v>0</v>
      </c>
      <c r="H66" s="133">
        <f>IF('All A - ESITO 2010 comp reg'!S66&gt;'ALL B - ESITO 2010 comp ASL'!U66,'ALL B - ESITO 2010 comp ASL'!U66,'All A - ESITO 2010 comp reg'!S66)</f>
        <v>59938.81</v>
      </c>
      <c r="I66" s="134">
        <f>+'All A - ESITO 2010 comp reg'!Q66+'All A - ESITO 2010 comp reg'!O66-'All C - comp e acc.to'!H66</f>
        <v>5309.110000000001</v>
      </c>
      <c r="J66" s="134">
        <f>+'ALL B - ESITO 2010 comp ASL'!U66-'All A - ESITO 2010 comp reg'!S66</f>
        <v>5357.071348626181</v>
      </c>
      <c r="K66" s="62"/>
      <c r="L66" s="2"/>
      <c r="M66" s="87">
        <f>+'All A - ESITO 2010 comp reg'!Q66+'All A - ESITO 2010 comp reg'!O66</f>
        <v>65247.92</v>
      </c>
      <c r="N66" s="87">
        <f>+'All A - ESITO 2010 comp reg'!R66+'All A - ESITO 2010 comp reg'!O66</f>
        <v>59938.81</v>
      </c>
      <c r="O66" s="87">
        <f>+'ALL B - ESITO 2010 comp ASL'!P66+'ALL B - ESITO 2010 comp ASL'!S66+'All A - ESITO 2010 comp reg'!O66</f>
        <v>66978.23727107093</v>
      </c>
      <c r="P66" s="87">
        <f>+'ALL B - ESITO 2010 comp ASL'!Q66+'ALL B - ESITO 2010 comp ASL'!T66+'All A - ESITO 2010 comp reg'!O66</f>
        <v>65295.88134862618</v>
      </c>
      <c r="Q66" s="87">
        <f t="shared" si="11"/>
        <v>66978.23727107093</v>
      </c>
      <c r="R66" s="87">
        <f t="shared" si="12"/>
        <v>7039.427271070934</v>
      </c>
      <c r="S66" s="87"/>
    </row>
    <row r="67" spans="1:19" s="3" customFormat="1" ht="12.75" customHeight="1">
      <c r="A67" s="61">
        <v>150105</v>
      </c>
      <c r="B67" s="32" t="s">
        <v>57</v>
      </c>
      <c r="C67" s="33"/>
      <c r="D67" s="132">
        <f>+'All A - ESITO 2010 comp reg'!K67</f>
        <v>12887784.31</v>
      </c>
      <c r="E67" s="132">
        <f>+'All A - ESITO 2010 comp reg'!L67</f>
        <v>12700000</v>
      </c>
      <c r="F67" s="132">
        <f>+'All A - ESITO 2010 comp reg'!M67</f>
        <v>187784.31000000052</v>
      </c>
      <c r="G67" s="132">
        <f>+'All A - ESITO 2010 comp reg'!N67</f>
        <v>0</v>
      </c>
      <c r="H67" s="133">
        <f>IF('All A - ESITO 2010 comp reg'!S67&gt;'ALL B - ESITO 2010 comp ASL'!U67,'ALL B - ESITO 2010 comp ASL'!U67,'All A - ESITO 2010 comp reg'!S67)</f>
        <v>59214.3</v>
      </c>
      <c r="I67" s="134">
        <f>+'All A - ESITO 2010 comp reg'!Q67+'All A - ESITO 2010 comp reg'!O67-'All C - comp e acc.to'!H67</f>
        <v>5244.93</v>
      </c>
      <c r="J67" s="134">
        <f>+'ALL B - ESITO 2010 comp ASL'!U67-'All A - ESITO 2010 comp reg'!S67</f>
        <v>5292.309065515867</v>
      </c>
      <c r="K67" s="62"/>
      <c r="L67" s="2"/>
      <c r="M67" s="87">
        <f>+'All A - ESITO 2010 comp reg'!Q67+'All A - ESITO 2010 comp reg'!O67</f>
        <v>64459.23</v>
      </c>
      <c r="N67" s="87">
        <f>+'All A - ESITO 2010 comp reg'!R67+'All A - ESITO 2010 comp reg'!O67</f>
        <v>59214.3</v>
      </c>
      <c r="O67" s="87">
        <f>+'ALL B - ESITO 2010 comp ASL'!P67+'ALL B - ESITO 2010 comp ASL'!S67+'All A - ESITO 2010 comp reg'!O67</f>
        <v>66168.62714475513</v>
      </c>
      <c r="P67" s="87">
        <f>+'ALL B - ESITO 2010 comp ASL'!Q67+'ALL B - ESITO 2010 comp ASL'!T67+'All A - ESITO 2010 comp reg'!O67</f>
        <v>64506.60906551587</v>
      </c>
      <c r="Q67" s="87">
        <f t="shared" si="11"/>
        <v>66168.62714475513</v>
      </c>
      <c r="R67" s="87">
        <f t="shared" si="12"/>
        <v>6954.327144755123</v>
      </c>
      <c r="S67" s="87"/>
    </row>
    <row r="68" spans="1:19" s="3" customFormat="1" ht="12.75" customHeight="1">
      <c r="A68" s="61">
        <v>150107</v>
      </c>
      <c r="B68" s="32" t="s">
        <v>51</v>
      </c>
      <c r="C68" s="33"/>
      <c r="D68" s="132">
        <f>+'All A - ESITO 2010 comp reg'!K68</f>
        <v>1224721.4100000001</v>
      </c>
      <c r="E68" s="132">
        <f>+'All A - ESITO 2010 comp reg'!L68</f>
        <v>1350000</v>
      </c>
      <c r="F68" s="132">
        <f>+'All A - ESITO 2010 comp reg'!M68</f>
        <v>0</v>
      </c>
      <c r="G68" s="132">
        <f>+'All A - ESITO 2010 comp reg'!N68</f>
        <v>11905.100000000093</v>
      </c>
      <c r="H68" s="133">
        <f>IF('All A - ESITO 2010 comp reg'!S68&gt;'ALL B - ESITO 2010 comp ASL'!U68,'ALL B - ESITO 2010 comp ASL'!U68,'All A - ESITO 2010 comp reg'!S68)</f>
        <v>0</v>
      </c>
      <c r="I68" s="134">
        <f>+'All A - ESITO 2010 comp reg'!Q68+'All A - ESITO 2010 comp reg'!O68-'All C - comp e acc.to'!H68</f>
        <v>125278.58999999985</v>
      </c>
      <c r="J68" s="134">
        <f>+'ALL B - ESITO 2010 comp ASL'!U68-'All A - ESITO 2010 comp reg'!S68</f>
        <v>0</v>
      </c>
      <c r="K68" s="62" t="s">
        <v>123</v>
      </c>
      <c r="L68" s="2"/>
      <c r="M68" s="87">
        <f>+'All A - ESITO 2010 comp reg'!Q68+'All A - ESITO 2010 comp reg'!O68</f>
        <v>125278.58999999985</v>
      </c>
      <c r="N68" s="87">
        <f>+'All A - ESITO 2010 comp reg'!R68+'All A - ESITO 2010 comp reg'!O68</f>
        <v>129032.63999999985</v>
      </c>
      <c r="O68" s="87">
        <f>+'ALL B - ESITO 2010 comp ASL'!P68+'ALL B - ESITO 2010 comp ASL'!S68+'All A - ESITO 2010 comp reg'!O68</f>
        <v>125278.58999999985</v>
      </c>
      <c r="P68" s="87">
        <f>+'ALL B - ESITO 2010 comp ASL'!Q68+'ALL B - ESITO 2010 comp ASL'!T68+'All A - ESITO 2010 comp reg'!O68</f>
        <v>129518.82408031158</v>
      </c>
      <c r="Q68" s="87">
        <f t="shared" si="11"/>
        <v>129518.82408031158</v>
      </c>
      <c r="R68" s="87">
        <f t="shared" si="12"/>
        <v>129518.82408031158</v>
      </c>
      <c r="S68" s="87"/>
    </row>
    <row r="69" spans="1:19" s="3" customFormat="1" ht="12.75" customHeight="1">
      <c r="A69" s="61">
        <v>150108</v>
      </c>
      <c r="B69" s="32" t="s">
        <v>62</v>
      </c>
      <c r="C69" s="24" t="s">
        <v>105</v>
      </c>
      <c r="D69" s="132">
        <f>+'All A - ESITO 2010 comp reg'!K69</f>
        <v>10990054.48</v>
      </c>
      <c r="E69" s="132">
        <f>+'All A - ESITO 2010 comp reg'!L69</f>
        <v>10100000</v>
      </c>
      <c r="F69" s="132">
        <f>+'All A - ESITO 2010 comp reg'!M69</f>
        <v>890054.4800000004</v>
      </c>
      <c r="G69" s="132">
        <f>+'All A - ESITO 2010 comp reg'!N69</f>
        <v>0</v>
      </c>
      <c r="H69" s="133">
        <f>IF('All A - ESITO 2010 comp reg'!S69&gt;'ALL B - ESITO 2010 comp ASL'!U69,'ALL B - ESITO 2010 comp ASL'!U69,'All A - ESITO 2010 comp reg'!S69)</f>
        <v>280662.15</v>
      </c>
      <c r="I69" s="134">
        <f>+'All A - ESITO 2010 comp reg'!Q69+'All A - ESITO 2010 comp reg'!O69-'All C - comp e acc.to'!H69</f>
        <v>24859.77999999997</v>
      </c>
      <c r="J69" s="134">
        <f>+'ALL B - ESITO 2010 comp ASL'!U69-'All A - ESITO 2010 comp reg'!S69</f>
        <v>25084.35449565045</v>
      </c>
      <c r="K69" s="62"/>
      <c r="L69" s="2"/>
      <c r="M69" s="87">
        <f>+'All A - ESITO 2010 comp reg'!Q69+'All A - ESITO 2010 comp reg'!O69</f>
        <v>305521.93</v>
      </c>
      <c r="N69" s="87">
        <f>+'All A - ESITO 2010 comp reg'!R69+'All A - ESITO 2010 comp reg'!O69</f>
        <v>280662.15</v>
      </c>
      <c r="O69" s="87">
        <f>+'ALL B - ESITO 2010 comp ASL'!P69+'ALL B - ESITO 2010 comp ASL'!S69+'All A - ESITO 2010 comp reg'!O69</f>
        <v>313624.08932564646</v>
      </c>
      <c r="P69" s="87">
        <f>+'ALL B - ESITO 2010 comp ASL'!Q69+'ALL B - ESITO 2010 comp ASL'!T69+'All A - ESITO 2010 comp reg'!O69</f>
        <v>305746.5044956505</v>
      </c>
      <c r="Q69" s="87">
        <f t="shared" si="11"/>
        <v>313624.08932564646</v>
      </c>
      <c r="R69" s="87">
        <f t="shared" si="12"/>
        <v>32961.93932564644</v>
      </c>
      <c r="S69" s="87"/>
    </row>
    <row r="70" spans="1:19" s="3" customFormat="1" ht="12.75" customHeight="1">
      <c r="A70" s="61">
        <v>150110</v>
      </c>
      <c r="B70" s="32" t="s">
        <v>54</v>
      </c>
      <c r="C70" s="33"/>
      <c r="D70" s="132">
        <f>+'All A - ESITO 2010 comp reg'!K70</f>
        <v>14381229.08</v>
      </c>
      <c r="E70" s="132">
        <f>+'All A - ESITO 2010 comp reg'!L70</f>
        <v>13400000</v>
      </c>
      <c r="F70" s="132">
        <f>+'All A - ESITO 2010 comp reg'!M70</f>
        <v>981229.0800000001</v>
      </c>
      <c r="G70" s="132">
        <f>+'All A - ESITO 2010 comp reg'!N70</f>
        <v>0</v>
      </c>
      <c r="H70" s="133">
        <f>IF('All A - ESITO 2010 comp reg'!S70&gt;'ALL B - ESITO 2010 comp ASL'!U70,'ALL B - ESITO 2010 comp ASL'!U70,'All A - ESITO 2010 comp reg'!S70)</f>
        <v>309412.37</v>
      </c>
      <c r="I70" s="134">
        <f>+'All A - ESITO 2010 comp reg'!Q70+'All A - ESITO 2010 comp reg'!O70-'All C - comp e acc.to'!H70</f>
        <v>27406.340000000026</v>
      </c>
      <c r="J70" s="134">
        <f>+'ALL B - ESITO 2010 comp ASL'!U70-'All A - ESITO 2010 comp reg'!S70</f>
        <v>27653.919722327904</v>
      </c>
      <c r="K70" s="62"/>
      <c r="L70" s="2"/>
      <c r="M70" s="87">
        <f>+'All A - ESITO 2010 comp reg'!Q70+'All A - ESITO 2010 comp reg'!O70</f>
        <v>336818.71</v>
      </c>
      <c r="N70" s="87">
        <f>+'All A - ESITO 2010 comp reg'!R70+'All A - ESITO 2010 comp reg'!O70</f>
        <v>309412.37</v>
      </c>
      <c r="O70" s="87">
        <f>+'ALL B - ESITO 2010 comp ASL'!P70+'ALL B - ESITO 2010 comp ASL'!S70+'All A - ESITO 2010 comp reg'!O70</f>
        <v>345750.8345826999</v>
      </c>
      <c r="P70" s="87">
        <f>+'ALL B - ESITO 2010 comp ASL'!Q70+'ALL B - ESITO 2010 comp ASL'!T70+'All A - ESITO 2010 comp reg'!O70</f>
        <v>337066.2897223279</v>
      </c>
      <c r="Q70" s="87">
        <f t="shared" si="11"/>
        <v>345750.8345826999</v>
      </c>
      <c r="R70" s="87">
        <f t="shared" si="12"/>
        <v>36338.46458269993</v>
      </c>
      <c r="S70" s="87"/>
    </row>
    <row r="71" spans="1:19" s="3" customFormat="1" ht="12.75" customHeight="1">
      <c r="A71" s="61">
        <v>150113</v>
      </c>
      <c r="B71" s="32" t="s">
        <v>61</v>
      </c>
      <c r="C71" s="33"/>
      <c r="D71" s="132">
        <f>+'All A - ESITO 2010 comp reg'!K71</f>
        <v>21100031.62</v>
      </c>
      <c r="E71" s="132">
        <f>+'All A - ESITO 2010 comp reg'!L71</f>
        <v>20500000</v>
      </c>
      <c r="F71" s="132">
        <f>+'All A - ESITO 2010 comp reg'!M71</f>
        <v>600031.620000001</v>
      </c>
      <c r="G71" s="132">
        <f>+'All A - ESITO 2010 comp reg'!N71</f>
        <v>0</v>
      </c>
      <c r="H71" s="133">
        <f>IF('All A - ESITO 2010 comp reg'!S71&gt;'ALL B - ESITO 2010 comp ASL'!U71,'ALL B - ESITO 2010 comp ASL'!U71,'All A - ESITO 2010 comp reg'!S71)</f>
        <v>189208.83</v>
      </c>
      <c r="I71" s="134">
        <f>+'All A - ESITO 2010 comp reg'!Q71+'All A - ESITO 2010 comp reg'!O71-'All C - comp e acc.to'!H71</f>
        <v>16759.26000000001</v>
      </c>
      <c r="J71" s="134">
        <f>+'ALL B - ESITO 2010 comp ASL'!U71-'All A - ESITO 2010 comp reg'!S71</f>
        <v>16910.654410002375</v>
      </c>
      <c r="K71" s="62"/>
      <c r="L71" s="2"/>
      <c r="M71" s="87">
        <f>+'All A - ESITO 2010 comp reg'!Q71+'All A - ESITO 2010 comp reg'!O71</f>
        <v>205968.09</v>
      </c>
      <c r="N71" s="87">
        <f>+'All A - ESITO 2010 comp reg'!R71+'All A - ESITO 2010 comp reg'!O71</f>
        <v>189208.83</v>
      </c>
      <c r="O71" s="87">
        <f>+'ALL B - ESITO 2010 comp ASL'!P71+'ALL B - ESITO 2010 comp ASL'!S71+'All A - ESITO 2010 comp reg'!O71</f>
        <v>211430.16689865812</v>
      </c>
      <c r="P71" s="87">
        <f>+'ALL B - ESITO 2010 comp ASL'!Q71+'ALL B - ESITO 2010 comp ASL'!T71+'All A - ESITO 2010 comp reg'!O71</f>
        <v>206119.48441000236</v>
      </c>
      <c r="Q71" s="87">
        <f t="shared" si="11"/>
        <v>211430.16689865812</v>
      </c>
      <c r="R71" s="87">
        <f t="shared" si="12"/>
        <v>22221.336898658134</v>
      </c>
      <c r="S71" s="87"/>
    </row>
    <row r="72" spans="1:19" s="3" customFormat="1" ht="12.75" customHeight="1">
      <c r="A72" s="61">
        <v>150114</v>
      </c>
      <c r="B72" s="32" t="s">
        <v>52</v>
      </c>
      <c r="C72" s="24" t="s">
        <v>105</v>
      </c>
      <c r="D72" s="132">
        <f>+'All A - ESITO 2010 comp reg'!K72</f>
        <v>10952696.360000001</v>
      </c>
      <c r="E72" s="132">
        <f>+'All A - ESITO 2010 comp reg'!L72</f>
        <v>9600000</v>
      </c>
      <c r="F72" s="132">
        <f>+'All A - ESITO 2010 comp reg'!M72</f>
        <v>1352696.3600000013</v>
      </c>
      <c r="G72" s="132">
        <f>+'All A - ESITO 2010 comp reg'!N72</f>
        <v>0</v>
      </c>
      <c r="H72" s="133">
        <f>IF('All A - ESITO 2010 comp reg'!S72&gt;'ALL B - ESITO 2010 comp ASL'!U72,'ALL B - ESITO 2010 comp ASL'!U72,'All A - ESITO 2010 comp reg'!S72)</f>
        <v>426547.68</v>
      </c>
      <c r="I72" s="134">
        <f>+'All A - ESITO 2010 comp reg'!Q72+'All A - ESITO 2010 comp reg'!O72-'All C - comp e acc.to'!H72</f>
        <v>37781.66000000003</v>
      </c>
      <c r="J72" s="134">
        <f>+'ALL B - ESITO 2010 comp ASL'!U72-'All A - ESITO 2010 comp reg'!S72</f>
        <v>38122.958843943255</v>
      </c>
      <c r="K72" s="62"/>
      <c r="L72" s="2"/>
      <c r="M72" s="87">
        <f>+'All A - ESITO 2010 comp reg'!Q72+'All A - ESITO 2010 comp reg'!O72</f>
        <v>464329.34</v>
      </c>
      <c r="N72" s="87">
        <f>+'All A - ESITO 2010 comp reg'!R72+'All A - ESITO 2010 comp reg'!O72</f>
        <v>426547.68</v>
      </c>
      <c r="O72" s="87">
        <f>+'ALL B - ESITO 2010 comp ASL'!P72+'ALL B - ESITO 2010 comp ASL'!S72+'All A - ESITO 2010 comp reg'!O72</f>
        <v>476642.9139014292</v>
      </c>
      <c r="P72" s="87">
        <f>+'ALL B - ESITO 2010 comp ASL'!Q72+'ALL B - ESITO 2010 comp ASL'!T72+'All A - ESITO 2010 comp reg'!O72</f>
        <v>464670.63884394325</v>
      </c>
      <c r="Q72" s="87">
        <f t="shared" si="11"/>
        <v>476642.9139014292</v>
      </c>
      <c r="R72" s="87">
        <f t="shared" si="12"/>
        <v>50095.23390142922</v>
      </c>
      <c r="S72" s="87"/>
    </row>
    <row r="73" spans="1:19" s="3" customFormat="1" ht="12.75" customHeight="1">
      <c r="A73" s="61">
        <v>150115</v>
      </c>
      <c r="B73" s="32" t="s">
        <v>50</v>
      </c>
      <c r="C73" s="33"/>
      <c r="D73" s="132">
        <f>+'All A - ESITO 2010 comp reg'!K73</f>
        <v>642534.4400000001</v>
      </c>
      <c r="E73" s="132">
        <f>+'All A - ESITO 2010 comp reg'!L73</f>
        <v>1200000</v>
      </c>
      <c r="F73" s="132">
        <f>+'All A - ESITO 2010 comp reg'!M73</f>
        <v>0</v>
      </c>
      <c r="G73" s="132">
        <f>+'All A - ESITO 2010 comp reg'!N73</f>
        <v>0</v>
      </c>
      <c r="H73" s="133">
        <f>IF('All A - ESITO 2010 comp reg'!S73&gt;'ALL B - ESITO 2010 comp ASL'!U73,'ALL B - ESITO 2010 comp ASL'!U73,'All A - ESITO 2010 comp reg'!S73)</f>
        <v>0</v>
      </c>
      <c r="I73" s="134">
        <f>+'All A - ESITO 2010 comp reg'!Q73+'All A - ESITO 2010 comp reg'!O73-'All C - comp e acc.to'!H73</f>
        <v>0</v>
      </c>
      <c r="J73" s="134">
        <f>+'ALL B - ESITO 2010 comp ASL'!U73-'All A - ESITO 2010 comp reg'!S73</f>
        <v>0</v>
      </c>
      <c r="K73" s="62"/>
      <c r="L73" s="2"/>
      <c r="M73" s="87">
        <f>+'All A - ESITO 2010 comp reg'!Q73+'All A - ESITO 2010 comp reg'!O73</f>
        <v>0</v>
      </c>
      <c r="N73" s="87">
        <f>+'All A - ESITO 2010 comp reg'!R73+'All A - ESITO 2010 comp reg'!O73</f>
        <v>0</v>
      </c>
      <c r="O73" s="87">
        <f>+'ALL B - ESITO 2010 comp ASL'!P73+'ALL B - ESITO 2010 comp ASL'!S73+'All A - ESITO 2010 comp reg'!O73</f>
        <v>0</v>
      </c>
      <c r="P73" s="87">
        <f>+'ALL B - ESITO 2010 comp ASL'!Q73+'ALL B - ESITO 2010 comp ASL'!T73+'All A - ESITO 2010 comp reg'!O73</f>
        <v>0</v>
      </c>
      <c r="Q73" s="87">
        <f t="shared" si="11"/>
        <v>0</v>
      </c>
      <c r="R73" s="87">
        <f t="shared" si="12"/>
        <v>0</v>
      </c>
      <c r="S73" s="87"/>
    </row>
    <row r="74" spans="1:19" s="3" customFormat="1" ht="12.75" customHeight="1">
      <c r="A74" s="61">
        <v>150117</v>
      </c>
      <c r="B74" s="32" t="s">
        <v>55</v>
      </c>
      <c r="C74" s="24" t="s">
        <v>103</v>
      </c>
      <c r="D74" s="132">
        <f>+'All A - ESITO 2010 comp reg'!K74</f>
        <v>4589302.95</v>
      </c>
      <c r="E74" s="132">
        <f>+'All A - ESITO 2010 comp reg'!L74</f>
        <v>3300000</v>
      </c>
      <c r="F74" s="132">
        <f>+'All A - ESITO 2010 comp reg'!M74</f>
        <v>1289302.9500000002</v>
      </c>
      <c r="G74" s="132">
        <f>+'All A - ESITO 2010 comp reg'!N74</f>
        <v>0</v>
      </c>
      <c r="H74" s="133">
        <f>IF('All A - ESITO 2010 comp reg'!S74&gt;'ALL B - ESITO 2010 comp ASL'!U74,'ALL B - ESITO 2010 comp ASL'!U74,'All A - ESITO 2010 comp reg'!S74)</f>
        <v>406557.75</v>
      </c>
      <c r="I74" s="134">
        <f>+'All A - ESITO 2010 comp reg'!Q74+'All A - ESITO 2010 comp reg'!O74-'All C - comp e acc.to'!H74</f>
        <v>36011.03999999998</v>
      </c>
      <c r="J74" s="134">
        <f>+'ALL B - ESITO 2010 comp ASL'!U74-'All A - ESITO 2010 comp reg'!S74</f>
        <v>36336.34138001932</v>
      </c>
      <c r="K74" s="62"/>
      <c r="L74" s="2"/>
      <c r="M74" s="87">
        <f>+'All A - ESITO 2010 comp reg'!Q74+'All A - ESITO 2010 comp reg'!O74</f>
        <v>442568.79</v>
      </c>
      <c r="N74" s="87">
        <f>+'All A - ESITO 2010 comp reg'!R74+'All A - ESITO 2010 comp reg'!O74</f>
        <v>406557.75</v>
      </c>
      <c r="O74" s="87">
        <f>+'ALL B - ESITO 2010 comp ASL'!P74+'ALL B - ESITO 2010 comp ASL'!S74+'All A - ESITO 2010 comp reg'!O74</f>
        <v>454305.2955160831</v>
      </c>
      <c r="P74" s="87">
        <f>+'ALL B - ESITO 2010 comp ASL'!Q74+'ALL B - ESITO 2010 comp ASL'!T74+'All A - ESITO 2010 comp reg'!O74</f>
        <v>442894.0913800193</v>
      </c>
      <c r="Q74" s="87">
        <f t="shared" si="11"/>
        <v>454305.2955160831</v>
      </c>
      <c r="R74" s="87">
        <f t="shared" si="12"/>
        <v>47747.545516083075</v>
      </c>
      <c r="S74" s="87"/>
    </row>
    <row r="75" spans="1:19" s="3" customFormat="1" ht="12.75" customHeight="1">
      <c r="A75" s="61">
        <v>150121</v>
      </c>
      <c r="B75" s="32" t="s">
        <v>60</v>
      </c>
      <c r="C75" s="33"/>
      <c r="D75" s="132">
        <f>+'All A - ESITO 2010 comp reg'!K75</f>
        <v>1052526.52</v>
      </c>
      <c r="E75" s="132">
        <f>+'All A - ESITO 2010 comp reg'!L75</f>
        <v>2100000</v>
      </c>
      <c r="F75" s="132">
        <f>+'All A - ESITO 2010 comp reg'!M75</f>
        <v>0</v>
      </c>
      <c r="G75" s="132">
        <f>+'All A - ESITO 2010 comp reg'!N75</f>
        <v>0</v>
      </c>
      <c r="H75" s="133">
        <f>IF('All A - ESITO 2010 comp reg'!S75&gt;'ALL B - ESITO 2010 comp ASL'!U75,'ALL B - ESITO 2010 comp ASL'!U75,'All A - ESITO 2010 comp reg'!S75)</f>
        <v>0</v>
      </c>
      <c r="I75" s="134">
        <f>+'All A - ESITO 2010 comp reg'!Q75+'All A - ESITO 2010 comp reg'!O75-'All C - comp e acc.to'!H75</f>
        <v>0</v>
      </c>
      <c r="J75" s="134">
        <f>+'ALL B - ESITO 2010 comp ASL'!U75-'All A - ESITO 2010 comp reg'!S75</f>
        <v>0</v>
      </c>
      <c r="K75" s="62"/>
      <c r="L75" s="2"/>
      <c r="M75" s="87">
        <f>+'All A - ESITO 2010 comp reg'!Q75+'All A - ESITO 2010 comp reg'!O75</f>
        <v>0</v>
      </c>
      <c r="N75" s="87">
        <f>+'All A - ESITO 2010 comp reg'!R75+'All A - ESITO 2010 comp reg'!O75</f>
        <v>0</v>
      </c>
      <c r="O75" s="87">
        <f>+'ALL B - ESITO 2010 comp ASL'!P75+'ALL B - ESITO 2010 comp ASL'!S75+'All A - ESITO 2010 comp reg'!O75</f>
        <v>0</v>
      </c>
      <c r="P75" s="87">
        <f>+'ALL B - ESITO 2010 comp ASL'!Q75+'ALL B - ESITO 2010 comp ASL'!T75+'All A - ESITO 2010 comp reg'!O75</f>
        <v>0</v>
      </c>
      <c r="Q75" s="87">
        <f t="shared" si="11"/>
        <v>0</v>
      </c>
      <c r="R75" s="87">
        <f t="shared" si="12"/>
        <v>0</v>
      </c>
      <c r="S75" s="87"/>
    </row>
    <row r="76" spans="1:19" s="3" customFormat="1" ht="12.75" customHeight="1">
      <c r="A76" s="61">
        <v>150192</v>
      </c>
      <c r="B76" s="32" t="s">
        <v>58</v>
      </c>
      <c r="C76" s="33"/>
      <c r="D76" s="132">
        <f>+'All A - ESITO 2010 comp reg'!K76</f>
        <v>8553512.52</v>
      </c>
      <c r="E76" s="132">
        <f>+'All A - ESITO 2010 comp reg'!L76</f>
        <v>8600000</v>
      </c>
      <c r="F76" s="132">
        <f>+'All A - ESITO 2010 comp reg'!M76</f>
        <v>0</v>
      </c>
      <c r="G76" s="132">
        <f>+'All A - ESITO 2010 comp reg'!N76</f>
        <v>6617.7400000002235</v>
      </c>
      <c r="H76" s="133">
        <f>IF('All A - ESITO 2010 comp reg'!S76&gt;'ALL B - ESITO 2010 comp ASL'!U76,'ALL B - ESITO 2010 comp ASL'!U76,'All A - ESITO 2010 comp reg'!S76)</f>
        <v>0</v>
      </c>
      <c r="I76" s="134">
        <f>+'All A - ESITO 2010 comp reg'!Q76+'All A - ESITO 2010 comp reg'!O76-'All C - comp e acc.to'!H76</f>
        <v>46487.48000000045</v>
      </c>
      <c r="J76" s="134">
        <f>+'ALL B - ESITO 2010 comp ASL'!U76-'All A - ESITO 2010 comp reg'!S76</f>
        <v>0</v>
      </c>
      <c r="K76" s="92" t="s">
        <v>124</v>
      </c>
      <c r="L76" s="2"/>
      <c r="M76" s="87">
        <f>+'All A - ESITO 2010 comp reg'!Q76+'All A - ESITO 2010 comp reg'!O76</f>
        <v>46487.48000000045</v>
      </c>
      <c r="N76" s="87">
        <f>+'All A - ESITO 2010 comp reg'!R76+'All A - ESITO 2010 comp reg'!O76</f>
        <v>48574.260000000446</v>
      </c>
      <c r="O76" s="87">
        <f>+'ALL B - ESITO 2010 comp ASL'!P76+'ALL B - ESITO 2010 comp ASL'!S76+'All A - ESITO 2010 comp reg'!O76</f>
        <v>46487.48000000045</v>
      </c>
      <c r="P76" s="87">
        <f>+'ALL B - ESITO 2010 comp ASL'!Q76+'ALL B - ESITO 2010 comp ASL'!T76+'All A - ESITO 2010 comp reg'!O76</f>
        <v>48844.51746147854</v>
      </c>
      <c r="Q76" s="87">
        <f t="shared" si="11"/>
        <v>48844.51746147854</v>
      </c>
      <c r="R76" s="87">
        <f t="shared" si="12"/>
        <v>48844.51746147854</v>
      </c>
      <c r="S76" s="87"/>
    </row>
    <row r="77" spans="1:19" s="3" customFormat="1" ht="15.75" customHeight="1">
      <c r="A77" s="56"/>
      <c r="B77" s="26" t="s">
        <v>14</v>
      </c>
      <c r="C77" s="27"/>
      <c r="D77" s="64">
        <f aca="true" t="shared" si="13" ref="D77:J77">SUM(D64:D76)</f>
        <v>104821425.91999999</v>
      </c>
      <c r="E77" s="64">
        <f t="shared" si="13"/>
        <v>100750000</v>
      </c>
      <c r="F77" s="64">
        <f t="shared" si="13"/>
        <v>6251052.130000004</v>
      </c>
      <c r="G77" s="64">
        <f t="shared" si="13"/>
        <v>18522.840000000317</v>
      </c>
      <c r="H77" s="95">
        <f t="shared" si="13"/>
        <v>1971153.22</v>
      </c>
      <c r="I77" s="95">
        <f t="shared" si="13"/>
        <v>346361.87000000034</v>
      </c>
      <c r="J77" s="95">
        <f t="shared" si="13"/>
        <v>176173.0180926475</v>
      </c>
      <c r="K77" s="65"/>
      <c r="L77" s="2"/>
      <c r="S77" s="87"/>
    </row>
    <row r="78" spans="1:19" s="3" customFormat="1" ht="6" customHeight="1">
      <c r="A78" s="56"/>
      <c r="B78" s="26"/>
      <c r="C78" s="34"/>
      <c r="D78" s="105"/>
      <c r="E78" s="105"/>
      <c r="F78" s="105"/>
      <c r="G78" s="105"/>
      <c r="H78" s="105"/>
      <c r="I78" s="105"/>
      <c r="J78" s="105"/>
      <c r="K78" s="105"/>
      <c r="L78" s="2"/>
      <c r="S78" s="87"/>
    </row>
    <row r="79" spans="1:19" ht="15.75" customHeight="1">
      <c r="A79" s="30" t="s">
        <v>63</v>
      </c>
      <c r="B79" s="37"/>
      <c r="C79" s="38"/>
      <c r="D79" s="106"/>
      <c r="E79" s="106"/>
      <c r="F79" s="106"/>
      <c r="G79" s="106"/>
      <c r="H79" s="106"/>
      <c r="I79" s="106"/>
      <c r="J79" s="106"/>
      <c r="K79" s="106"/>
      <c r="S79" s="87"/>
    </row>
    <row r="80" spans="1:19" ht="12.75" customHeight="1">
      <c r="A80" s="61">
        <v>150167</v>
      </c>
      <c r="B80" s="35" t="s">
        <v>67</v>
      </c>
      <c r="C80" s="24" t="s">
        <v>105</v>
      </c>
      <c r="D80" s="132">
        <f>+'All A - ESITO 2010 comp reg'!K80</f>
        <v>9700655.04</v>
      </c>
      <c r="E80" s="132">
        <f>+'All A - ESITO 2010 comp reg'!L80</f>
        <v>8700000</v>
      </c>
      <c r="F80" s="132">
        <f>+'All A - ESITO 2010 comp reg'!M80</f>
        <v>1000655.0399999991</v>
      </c>
      <c r="G80" s="132">
        <f>+'All A - ESITO 2010 comp reg'!N80</f>
        <v>313962.87</v>
      </c>
      <c r="H80" s="133">
        <f>IF('All A - ESITO 2010 comp reg'!S80&gt;'ALL B - ESITO 2010 comp ASL'!U80,'ALL B - ESITO 2010 comp ASL'!U80,'All A - ESITO 2010 comp reg'!S80)</f>
        <v>116748.4280807768</v>
      </c>
      <c r="I80" s="134">
        <f>+'All A - ESITO 2010 comp reg'!Q80+'All A - ESITO 2010 comp reg'!O80-'All C - comp e acc.to'!H80</f>
        <v>226738.48191922318</v>
      </c>
      <c r="J80" s="134">
        <f>+'ALL B - ESITO 2010 comp ASL'!U80-'All A - ESITO 2010 comp reg'!S80</f>
        <v>-226738.48191922318</v>
      </c>
      <c r="K80" s="62" t="s">
        <v>126</v>
      </c>
      <c r="M80" s="87">
        <f>+'All A - ESITO 2010 comp reg'!Q80+'All A - ESITO 2010 comp reg'!O80</f>
        <v>343486.91</v>
      </c>
      <c r="N80" s="87">
        <f>+'All A - ESITO 2010 comp reg'!R80+'All A - ESITO 2010 comp reg'!O80</f>
        <v>414540.35</v>
      </c>
      <c r="O80" s="87">
        <f>+'ALL B - ESITO 2010 comp ASL'!P80+'ALL B - ESITO 2010 comp ASL'!S80+'All A - ESITO 2010 comp reg'!O80</f>
        <v>116748.4280807768</v>
      </c>
      <c r="P80" s="87">
        <f>+'ALL B - ESITO 2010 comp ASL'!Q80+'ALL B - ESITO 2010 comp ASL'!T80+'All A - ESITO 2010 comp reg'!O80</f>
        <v>119436.17847027804</v>
      </c>
      <c r="Q80" s="87">
        <f aca="true" t="shared" si="14" ref="Q80:Q89">MAX(M80:P80)</f>
        <v>414540.35</v>
      </c>
      <c r="R80" s="87">
        <f aca="true" t="shared" si="15" ref="R80:R89">+Q80-H80</f>
        <v>297791.92191922315</v>
      </c>
      <c r="S80" s="87"/>
    </row>
    <row r="81" spans="1:19" s="3" customFormat="1" ht="12.75" customHeight="1">
      <c r="A81" s="61">
        <v>150170</v>
      </c>
      <c r="B81" s="32" t="s">
        <v>69</v>
      </c>
      <c r="C81" s="33"/>
      <c r="D81" s="132">
        <f>+'All A - ESITO 2010 comp reg'!K81</f>
        <v>12027400.260000002</v>
      </c>
      <c r="E81" s="132">
        <f>+'All A - ESITO 2010 comp reg'!L81</f>
        <v>12600000</v>
      </c>
      <c r="F81" s="132">
        <f>+'All A - ESITO 2010 comp reg'!M81</f>
        <v>0</v>
      </c>
      <c r="G81" s="132">
        <f>+'All A - ESITO 2010 comp reg'!N81</f>
        <v>0</v>
      </c>
      <c r="H81" s="133">
        <f>IF('All A - ESITO 2010 comp reg'!S81&gt;'ALL B - ESITO 2010 comp ASL'!U81,'ALL B - ESITO 2010 comp ASL'!U81,'All A - ESITO 2010 comp reg'!S81)</f>
        <v>0</v>
      </c>
      <c r="I81" s="134">
        <f>+'All A - ESITO 2010 comp reg'!Q81+'All A - ESITO 2010 comp reg'!O81-'All C - comp e acc.to'!H81</f>
        <v>380601.79</v>
      </c>
      <c r="J81" s="134">
        <f>+'ALL B - ESITO 2010 comp ASL'!U81-'All A - ESITO 2010 comp reg'!S81</f>
        <v>0</v>
      </c>
      <c r="K81" s="62" t="s">
        <v>125</v>
      </c>
      <c r="L81" s="2"/>
      <c r="M81" s="87">
        <f>+'All A - ESITO 2010 comp reg'!Q81+'All A - ESITO 2010 comp reg'!O81</f>
        <v>380601.79</v>
      </c>
      <c r="N81" s="87">
        <f>+'All A - ESITO 2010 comp reg'!R81+'All A - ESITO 2010 comp reg'!O81</f>
        <v>380601.79</v>
      </c>
      <c r="O81" s="87">
        <f>+'ALL B - ESITO 2010 comp ASL'!P81+'ALL B - ESITO 2010 comp ASL'!S81+'All A - ESITO 2010 comp reg'!O81</f>
        <v>380601.79</v>
      </c>
      <c r="P81" s="87">
        <f>+'ALL B - ESITO 2010 comp ASL'!Q81+'ALL B - ESITO 2010 comp ASL'!T81+'All A - ESITO 2010 comp reg'!O81</f>
        <v>380601.79</v>
      </c>
      <c r="Q81" s="87">
        <f t="shared" si="14"/>
        <v>380601.79</v>
      </c>
      <c r="R81" s="87">
        <f t="shared" si="15"/>
        <v>380601.79</v>
      </c>
      <c r="S81" s="87"/>
    </row>
    <row r="82" spans="1:19" s="3" customFormat="1" ht="12.75" customHeight="1">
      <c r="A82" s="61">
        <v>150171</v>
      </c>
      <c r="B82" s="32" t="s">
        <v>68</v>
      </c>
      <c r="C82" s="33"/>
      <c r="D82" s="132">
        <f>+'All A - ESITO 2010 comp reg'!K82</f>
        <v>5404962.87</v>
      </c>
      <c r="E82" s="132">
        <f>+'All A - ESITO 2010 comp reg'!L82</f>
        <v>5070000</v>
      </c>
      <c r="F82" s="132">
        <f>+'All A - ESITO 2010 comp reg'!M82</f>
        <v>334962.8700000001</v>
      </c>
      <c r="G82" s="132">
        <f>+'All A - ESITO 2010 comp reg'!N82</f>
        <v>0</v>
      </c>
      <c r="H82" s="133">
        <f>IF('All A - ESITO 2010 comp reg'!S82&gt;'ALL B - ESITO 2010 comp ASL'!U82,'ALL B - ESITO 2010 comp ASL'!U82,'All A - ESITO 2010 comp reg'!S82)</f>
        <v>30096.966828073142</v>
      </c>
      <c r="I82" s="134">
        <f>+'All A - ESITO 2010 comp reg'!Q82+'All A - ESITO 2010 comp reg'!O82-'All C - comp e acc.to'!H82</f>
        <v>84883.07317192685</v>
      </c>
      <c r="J82" s="134">
        <f>+'ALL B - ESITO 2010 comp ASL'!U82-'All A - ESITO 2010 comp reg'!S82</f>
        <v>-75527.35317192686</v>
      </c>
      <c r="K82" s="62"/>
      <c r="L82" s="2"/>
      <c r="M82" s="87">
        <f>+'All A - ESITO 2010 comp reg'!Q82+'All A - ESITO 2010 comp reg'!O82</f>
        <v>114980.04</v>
      </c>
      <c r="N82" s="87">
        <f>+'All A - ESITO 2010 comp reg'!R82+'All A - ESITO 2010 comp reg'!O82</f>
        <v>105624.32</v>
      </c>
      <c r="O82" s="87">
        <f>+'ALL B - ESITO 2010 comp ASL'!P82+'ALL B - ESITO 2010 comp ASL'!S82+'All A - ESITO 2010 comp reg'!O82</f>
        <v>39080.787243251194</v>
      </c>
      <c r="P82" s="87">
        <f>+'ALL B - ESITO 2010 comp ASL'!Q82+'ALL B - ESITO 2010 comp ASL'!T82+'All A - ESITO 2010 comp reg'!O82</f>
        <v>30096.966828073142</v>
      </c>
      <c r="Q82" s="87">
        <f t="shared" si="14"/>
        <v>114980.04</v>
      </c>
      <c r="R82" s="87">
        <f t="shared" si="15"/>
        <v>84883.07317192685</v>
      </c>
      <c r="S82" s="87"/>
    </row>
    <row r="83" spans="1:19" s="3" customFormat="1" ht="12.75" customHeight="1">
      <c r="A83" s="61">
        <v>150172</v>
      </c>
      <c r="B83" s="26" t="s">
        <v>88</v>
      </c>
      <c r="C83" s="39"/>
      <c r="D83" s="132">
        <f>+'All A - ESITO 2010 comp reg'!K83</f>
        <v>475094.45000000007</v>
      </c>
      <c r="E83" s="132">
        <f>+'All A - ESITO 2010 comp reg'!L83</f>
        <v>700000</v>
      </c>
      <c r="F83" s="132">
        <f>+'All A - ESITO 2010 comp reg'!M83</f>
        <v>0</v>
      </c>
      <c r="G83" s="132">
        <f>+'All A - ESITO 2010 comp reg'!N83</f>
        <v>0</v>
      </c>
      <c r="H83" s="133">
        <f>IF('All A - ESITO 2010 comp reg'!S83&gt;'ALL B - ESITO 2010 comp ASL'!U83,'ALL B - ESITO 2010 comp ASL'!U83,'All A - ESITO 2010 comp reg'!S83)</f>
        <v>0</v>
      </c>
      <c r="I83" s="134">
        <f>+'All A - ESITO 2010 comp reg'!Q83+'All A - ESITO 2010 comp reg'!O83-'All C - comp e acc.to'!H83</f>
        <v>0</v>
      </c>
      <c r="J83" s="134">
        <f>+'ALL B - ESITO 2010 comp ASL'!U83-'All A - ESITO 2010 comp reg'!S83</f>
        <v>0</v>
      </c>
      <c r="K83" s="62"/>
      <c r="L83" s="2"/>
      <c r="M83" s="87">
        <f>+'All A - ESITO 2010 comp reg'!Q83+'All A - ESITO 2010 comp reg'!O83</f>
        <v>0</v>
      </c>
      <c r="N83" s="87">
        <f>+'All A - ESITO 2010 comp reg'!R83+'All A - ESITO 2010 comp reg'!O83</f>
        <v>0</v>
      </c>
      <c r="O83" s="87">
        <f>+'ALL B - ESITO 2010 comp ASL'!P83+'ALL B - ESITO 2010 comp ASL'!S83+'All A - ESITO 2010 comp reg'!O83</f>
        <v>0</v>
      </c>
      <c r="P83" s="87">
        <f>+'ALL B - ESITO 2010 comp ASL'!Q83+'ALL B - ESITO 2010 comp ASL'!T83+'All A - ESITO 2010 comp reg'!O83</f>
        <v>0</v>
      </c>
      <c r="Q83" s="87">
        <f t="shared" si="14"/>
        <v>0</v>
      </c>
      <c r="R83" s="87">
        <f t="shared" si="15"/>
        <v>0</v>
      </c>
      <c r="S83" s="87"/>
    </row>
    <row r="84" spans="1:19" s="3" customFormat="1" ht="12.75" customHeight="1">
      <c r="A84" s="61">
        <v>150173</v>
      </c>
      <c r="B84" s="32" t="s">
        <v>70</v>
      </c>
      <c r="C84" s="33"/>
      <c r="D84" s="132">
        <f>+'All A - ESITO 2010 comp reg'!K84</f>
        <v>12684687.719</v>
      </c>
      <c r="E84" s="132">
        <f>+'All A - ESITO 2010 comp reg'!L84</f>
        <v>13000000</v>
      </c>
      <c r="F84" s="132">
        <f>+'All A - ESITO 2010 comp reg'!M84</f>
        <v>0</v>
      </c>
      <c r="G84" s="132">
        <f>+'All A - ESITO 2010 comp reg'!N84</f>
        <v>116355.52900000103</v>
      </c>
      <c r="H84" s="133">
        <f>IF('All A - ESITO 2010 comp reg'!S84&gt;'ALL B - ESITO 2010 comp ASL'!U84,'ALL B - ESITO 2010 comp ASL'!U84,'All A - ESITO 2010 comp reg'!S84)</f>
        <v>0</v>
      </c>
      <c r="I84" s="134">
        <f>+'All A - ESITO 2010 comp reg'!Q84+'All A - ESITO 2010 comp reg'!O84-'All C - comp e acc.to'!H84</f>
        <v>315312.2809999995</v>
      </c>
      <c r="J84" s="134">
        <f>+'ALL B - ESITO 2010 comp ASL'!U84-'All A - ESITO 2010 comp reg'!S84</f>
        <v>0</v>
      </c>
      <c r="K84" s="92" t="s">
        <v>128</v>
      </c>
      <c r="L84" s="2"/>
      <c r="M84" s="87">
        <f>+'All A - ESITO 2010 comp reg'!Q84+'All A - ESITO 2010 comp reg'!O84</f>
        <v>315312.2809999995</v>
      </c>
      <c r="N84" s="87">
        <f>+'All A - ESITO 2010 comp reg'!R84+'All A - ESITO 2010 comp reg'!O84</f>
        <v>352002.8409999995</v>
      </c>
      <c r="O84" s="87">
        <f>+'ALL B - ESITO 2010 comp ASL'!P84+'ALL B - ESITO 2010 comp ASL'!S84+'All A - ESITO 2010 comp reg'!O84</f>
        <v>315312.2809999995</v>
      </c>
      <c r="P84" s="87">
        <f>+'ALL B - ESITO 2010 comp ASL'!Q84+'ALL B - ESITO 2010 comp ASL'!T84+'All A - ESITO 2010 comp reg'!O84</f>
        <v>326254.57847227453</v>
      </c>
      <c r="Q84" s="87">
        <f t="shared" si="14"/>
        <v>352002.8409999995</v>
      </c>
      <c r="R84" s="87">
        <f t="shared" si="15"/>
        <v>352002.8409999995</v>
      </c>
      <c r="S84" s="87"/>
    </row>
    <row r="85" spans="1:19" s="3" customFormat="1" ht="12.75" customHeight="1">
      <c r="A85" s="61">
        <v>150175</v>
      </c>
      <c r="B85" s="32" t="s">
        <v>64</v>
      </c>
      <c r="C85" s="33"/>
      <c r="D85" s="132">
        <f>+'All A - ESITO 2010 comp reg'!K85</f>
        <v>24451745.150000002</v>
      </c>
      <c r="E85" s="132">
        <f>+'All A - ESITO 2010 comp reg'!L85</f>
        <v>23900000</v>
      </c>
      <c r="F85" s="132">
        <f>+'All A - ESITO 2010 comp reg'!M85</f>
        <v>551745.1500000022</v>
      </c>
      <c r="G85" s="132">
        <f>+'All A - ESITO 2010 comp reg'!N85</f>
        <v>0</v>
      </c>
      <c r="H85" s="133">
        <f>IF('All A - ESITO 2010 comp reg'!S85&gt;'ALL B - ESITO 2010 comp ASL'!U85,'ALL B - ESITO 2010 comp ASL'!U85,'All A - ESITO 2010 comp reg'!S85)</f>
        <v>49575.21227054621</v>
      </c>
      <c r="I85" s="134">
        <f>+'All A - ESITO 2010 comp reg'!Q85+'All A - ESITO 2010 comp reg'!O85-'All C - comp e acc.to'!H85</f>
        <v>139817.96772945378</v>
      </c>
      <c r="J85" s="134">
        <f>+'ALL B - ESITO 2010 comp ASL'!U85-'All A - ESITO 2010 comp reg'!S85</f>
        <v>-124407.37772945379</v>
      </c>
      <c r="K85" s="62"/>
      <c r="L85" s="2"/>
      <c r="M85" s="87">
        <f>+'All A - ESITO 2010 comp reg'!Q85+'All A - ESITO 2010 comp reg'!O85</f>
        <v>189393.18</v>
      </c>
      <c r="N85" s="87">
        <f>+'All A - ESITO 2010 comp reg'!R85+'All A - ESITO 2010 comp reg'!O85</f>
        <v>173982.59</v>
      </c>
      <c r="O85" s="87">
        <f>+'ALL B - ESITO 2010 comp ASL'!P85+'ALL B - ESITO 2010 comp ASL'!S85+'All A - ESITO 2010 comp reg'!O85</f>
        <v>64373.21676785838</v>
      </c>
      <c r="P85" s="87">
        <f>+'ALL B - ESITO 2010 comp ASL'!Q85+'ALL B - ESITO 2010 comp ASL'!T85+'All A - ESITO 2010 comp reg'!O85</f>
        <v>49575.21227054621</v>
      </c>
      <c r="Q85" s="87">
        <f t="shared" si="14"/>
        <v>189393.18</v>
      </c>
      <c r="R85" s="87">
        <f t="shared" si="15"/>
        <v>139817.96772945378</v>
      </c>
      <c r="S85" s="87"/>
    </row>
    <row r="86" spans="1:19" s="5" customFormat="1" ht="12.75" customHeight="1">
      <c r="A86" s="61">
        <v>150176</v>
      </c>
      <c r="B86" s="32" t="s">
        <v>66</v>
      </c>
      <c r="C86" s="24" t="s">
        <v>106</v>
      </c>
      <c r="D86" s="132">
        <f>+'All A - ESITO 2010 comp reg'!K86</f>
        <v>11515629.19</v>
      </c>
      <c r="E86" s="132">
        <f>+'All A - ESITO 2010 comp reg'!L86</f>
        <v>7900000</v>
      </c>
      <c r="F86" s="132">
        <f>+'All A - ESITO 2010 comp reg'!M86</f>
        <v>3615629.1899999995</v>
      </c>
      <c r="G86" s="132">
        <f>+'All A - ESITO 2010 comp reg'!N86</f>
        <v>954168.35</v>
      </c>
      <c r="H86" s="133">
        <f>IF('All A - ESITO 2010 comp reg'!S86&gt;'ALL B - ESITO 2010 comp ASL'!U86,'ALL B - ESITO 2010 comp ASL'!U86,'All A - ESITO 2010 comp reg'!S86)</f>
        <v>414602.0748860563</v>
      </c>
      <c r="I86" s="134">
        <f>+'All A - ESITO 2010 comp reg'!Q86+'All A - ESITO 2010 comp reg'!O86-'All C - comp e acc.to'!H86</f>
        <v>826506.2451139437</v>
      </c>
      <c r="J86" s="134">
        <f>+'ALL B - ESITO 2010 comp ASL'!U86-'All A - ESITO 2010 comp reg'!S86</f>
        <v>-826506.2451139437</v>
      </c>
      <c r="K86" s="62" t="s">
        <v>126</v>
      </c>
      <c r="L86" s="2"/>
      <c r="M86" s="87">
        <f>+'All A - ESITO 2010 comp reg'!Q86+'All A - ESITO 2010 comp reg'!O86</f>
        <v>1241108.32</v>
      </c>
      <c r="N86" s="87">
        <f>+'All A - ESITO 2010 comp reg'!R86+'All A - ESITO 2010 comp reg'!O86</f>
        <v>1441000.81</v>
      </c>
      <c r="O86" s="87">
        <f>+'ALL B - ESITO 2010 comp ASL'!P86+'ALL B - ESITO 2010 comp ASL'!S86+'All A - ESITO 2010 comp reg'!O86</f>
        <v>421842.71382679435</v>
      </c>
      <c r="P86" s="87">
        <f>+'ALL B - ESITO 2010 comp ASL'!Q86+'ALL B - ESITO 2010 comp ASL'!T86+'All A - ESITO 2010 comp reg'!O86</f>
        <v>414602.0748860563</v>
      </c>
      <c r="Q86" s="87">
        <f t="shared" si="14"/>
        <v>1441000.81</v>
      </c>
      <c r="R86" s="87">
        <f t="shared" si="15"/>
        <v>1026398.7351139437</v>
      </c>
      <c r="S86" s="87"/>
    </row>
    <row r="87" spans="1:19" s="5" customFormat="1" ht="12.75" customHeight="1">
      <c r="A87" s="61">
        <v>150177</v>
      </c>
      <c r="B87" s="41" t="s">
        <v>71</v>
      </c>
      <c r="C87" s="4"/>
      <c r="D87" s="132">
        <f>+'All A - ESITO 2010 comp reg'!K87</f>
        <v>13266063.170000002</v>
      </c>
      <c r="E87" s="132">
        <f>+'All A - ESITO 2010 comp reg'!L87</f>
        <v>13300000</v>
      </c>
      <c r="F87" s="132">
        <f>+'All A - ESITO 2010 comp reg'!M87</f>
        <v>0</v>
      </c>
      <c r="G87" s="132">
        <f>+'All A - ESITO 2010 comp reg'!N87</f>
        <v>166882.3000000026</v>
      </c>
      <c r="H87" s="133">
        <f>IF('All A - ESITO 2010 comp reg'!S87&gt;'ALL B - ESITO 2010 comp ASL'!U87,'ALL B - ESITO 2010 comp ASL'!U87,'All A - ESITO 2010 comp reg'!S87)</f>
        <v>0</v>
      </c>
      <c r="I87" s="134">
        <f>+'All A - ESITO 2010 comp reg'!Q87+'All A - ESITO 2010 comp reg'!O87-'All C - comp e acc.to'!H87</f>
        <v>33936.82999999821</v>
      </c>
      <c r="J87" s="134">
        <f>+'ALL B - ESITO 2010 comp ASL'!U87-'All A - ESITO 2010 comp reg'!S87</f>
        <v>0</v>
      </c>
      <c r="K87" s="92" t="s">
        <v>127</v>
      </c>
      <c r="L87" s="2"/>
      <c r="M87" s="87">
        <f>+'All A - ESITO 2010 comp reg'!Q87+'All A - ESITO 2010 comp reg'!O87</f>
        <v>33936.82999999821</v>
      </c>
      <c r="N87" s="87">
        <f>+'All A - ESITO 2010 comp reg'!R87+'All A - ESITO 2010 comp reg'!O87</f>
        <v>86560.05999999822</v>
      </c>
      <c r="O87" s="87">
        <f>+'ALL B - ESITO 2010 comp ASL'!P87+'ALL B - ESITO 2010 comp ASL'!S87+'All A - ESITO 2010 comp reg'!O87</f>
        <v>33936.82999999821</v>
      </c>
      <c r="P87" s="87">
        <f>+'ALL B - ESITO 2010 comp ASL'!Q87+'ALL B - ESITO 2010 comp ASL'!T87+'All A - ESITO 2010 comp reg'!O87</f>
        <v>49630.76208170835</v>
      </c>
      <c r="Q87" s="87">
        <f t="shared" si="14"/>
        <v>86560.05999999822</v>
      </c>
      <c r="R87" s="87">
        <f t="shared" si="15"/>
        <v>86560.05999999822</v>
      </c>
      <c r="S87" s="87"/>
    </row>
    <row r="88" spans="1:19" s="5" customFormat="1" ht="12.75" customHeight="1">
      <c r="A88" s="61">
        <v>150178</v>
      </c>
      <c r="B88" s="42" t="s">
        <v>65</v>
      </c>
      <c r="C88" s="43"/>
      <c r="D88" s="132">
        <f>+'All A - ESITO 2010 comp reg'!K88</f>
        <v>8072365.57</v>
      </c>
      <c r="E88" s="132">
        <f>+'All A - ESITO 2010 comp reg'!L88</f>
        <v>8000000</v>
      </c>
      <c r="F88" s="132">
        <f>+'All A - ESITO 2010 comp reg'!M88</f>
        <v>72365.5700000003</v>
      </c>
      <c r="G88" s="132">
        <f>+'All A - ESITO 2010 comp reg'!N88</f>
        <v>0</v>
      </c>
      <c r="H88" s="133">
        <f>IF('All A - ESITO 2010 comp reg'!S88&gt;'ALL B - ESITO 2010 comp ASL'!U88,'ALL B - ESITO 2010 comp ASL'!U88,'All A - ESITO 2010 comp reg'!S88)</f>
        <v>6502.16575956777</v>
      </c>
      <c r="I88" s="134">
        <f>+'All A - ESITO 2010 comp reg'!Q88+'All A - ESITO 2010 comp reg'!O88-'All C - comp e acc.to'!H88</f>
        <v>18338.18424043223</v>
      </c>
      <c r="J88" s="134">
        <f>+'ALL B - ESITO 2010 comp ASL'!U88-'All A - ESITO 2010 comp reg'!S88</f>
        <v>-16316.97424043223</v>
      </c>
      <c r="K88" s="92"/>
      <c r="L88" s="2"/>
      <c r="M88" s="87">
        <f>+'All A - ESITO 2010 comp reg'!Q88+'All A - ESITO 2010 comp reg'!O88</f>
        <v>24840.35</v>
      </c>
      <c r="N88" s="87">
        <f>+'All A - ESITO 2010 comp reg'!R88+'All A - ESITO 2010 comp reg'!O88</f>
        <v>22819.14</v>
      </c>
      <c r="O88" s="87">
        <f>+'ALL B - ESITO 2010 comp ASL'!P88+'ALL B - ESITO 2010 comp ASL'!S88+'All A - ESITO 2010 comp reg'!O88</f>
        <v>8443.040260012127</v>
      </c>
      <c r="P88" s="87">
        <f>+'ALL B - ESITO 2010 comp ASL'!Q88+'ALL B - ESITO 2010 comp ASL'!T88+'All A - ESITO 2010 comp reg'!O88</f>
        <v>6502.16575956777</v>
      </c>
      <c r="Q88" s="87">
        <f t="shared" si="14"/>
        <v>24840.35</v>
      </c>
      <c r="R88" s="87">
        <f t="shared" si="15"/>
        <v>18338.18424043223</v>
      </c>
      <c r="S88" s="87"/>
    </row>
    <row r="89" spans="1:19" s="3" customFormat="1" ht="12.75" customHeight="1">
      <c r="A89" s="61">
        <v>150420</v>
      </c>
      <c r="B89" s="41" t="s">
        <v>72</v>
      </c>
      <c r="C89" s="4"/>
      <c r="D89" s="132">
        <f>+'All A - ESITO 2010 comp reg'!K89</f>
        <v>3845564.6</v>
      </c>
      <c r="E89" s="132">
        <f>+'All A - ESITO 2010 comp reg'!L89</f>
        <v>3800000</v>
      </c>
      <c r="F89" s="132">
        <f>+'All A - ESITO 2010 comp reg'!M89</f>
        <v>45564.60000000009</v>
      </c>
      <c r="G89" s="132">
        <f>+'All A - ESITO 2010 comp reg'!N89</f>
        <v>0</v>
      </c>
      <c r="H89" s="133">
        <f>IF('All A - ESITO 2010 comp reg'!S89&gt;'ALL B - ESITO 2010 comp ASL'!U89,'ALL B - ESITO 2010 comp ASL'!U89,'All A - ESITO 2010 comp reg'!S89)</f>
        <v>4094.0544956569297</v>
      </c>
      <c r="I89" s="134">
        <f>+'All A - ESITO 2010 comp reg'!Q89+'All A - ESITO 2010 comp reg'!O89-'All C - comp e acc.to'!H89</f>
        <v>11546.54550434307</v>
      </c>
      <c r="J89" s="134">
        <f>+'ALL B - ESITO 2010 comp ASL'!U89-'All A - ESITO 2010 comp reg'!S89</f>
        <v>-10273.89550434307</v>
      </c>
      <c r="K89" s="92"/>
      <c r="L89" s="2"/>
      <c r="M89" s="87">
        <f>+'All A - ESITO 2010 comp reg'!Q89+'All A - ESITO 2010 comp reg'!O89</f>
        <v>15640.6</v>
      </c>
      <c r="N89" s="87">
        <f>+'All A - ESITO 2010 comp reg'!R89+'All A - ESITO 2010 comp reg'!O89</f>
        <v>14367.95</v>
      </c>
      <c r="O89" s="87">
        <f>+'ALL B - ESITO 2010 comp ASL'!P89+'ALL B - ESITO 2010 comp ASL'!S89+'All A - ESITO 2010 comp reg'!O89</f>
        <v>5316.113821305464</v>
      </c>
      <c r="P89" s="87">
        <f>+'ALL B - ESITO 2010 comp ASL'!Q89+'ALL B - ESITO 2010 comp ASL'!T89+'All A - ESITO 2010 comp reg'!O89</f>
        <v>4094.0544956569297</v>
      </c>
      <c r="Q89" s="87">
        <f t="shared" si="14"/>
        <v>15640.6</v>
      </c>
      <c r="R89" s="87">
        <f t="shared" si="15"/>
        <v>11546.54550434307</v>
      </c>
      <c r="S89" s="87"/>
    </row>
    <row r="90" spans="1:19" s="3" customFormat="1" ht="15.75" customHeight="1">
      <c r="A90" s="56"/>
      <c r="B90" s="34" t="s">
        <v>14</v>
      </c>
      <c r="C90" s="27"/>
      <c r="D90" s="64">
        <f aca="true" t="shared" si="16" ref="D90:J90">SUM(D80:D89)</f>
        <v>101444168.019</v>
      </c>
      <c r="E90" s="64">
        <f t="shared" si="16"/>
        <v>96970000</v>
      </c>
      <c r="F90" s="64">
        <f t="shared" si="16"/>
        <v>5620922.420000002</v>
      </c>
      <c r="G90" s="64">
        <f t="shared" si="16"/>
        <v>1551369.0490000036</v>
      </c>
      <c r="H90" s="95">
        <f t="shared" si="16"/>
        <v>621618.9023206772</v>
      </c>
      <c r="I90" s="95">
        <f t="shared" si="16"/>
        <v>2037681.3986793205</v>
      </c>
      <c r="J90" s="95">
        <f t="shared" si="16"/>
        <v>-1279770.3276793228</v>
      </c>
      <c r="K90" s="65"/>
      <c r="L90" s="2"/>
      <c r="S90" s="87"/>
    </row>
    <row r="91" spans="1:19" s="3" customFormat="1" ht="6" customHeight="1">
      <c r="A91" s="56"/>
      <c r="B91" s="34"/>
      <c r="C91" s="34"/>
      <c r="D91" s="105"/>
      <c r="E91" s="105"/>
      <c r="F91" s="105"/>
      <c r="G91" s="105"/>
      <c r="H91" s="105"/>
      <c r="I91" s="105"/>
      <c r="J91" s="105"/>
      <c r="K91" s="105"/>
      <c r="S91" s="87"/>
    </row>
    <row r="92" spans="1:19" s="3" customFormat="1" ht="12.75">
      <c r="A92" s="56"/>
      <c r="B92" s="44" t="s">
        <v>73</v>
      </c>
      <c r="C92" s="44"/>
      <c r="D92" s="106"/>
      <c r="E92" s="106"/>
      <c r="F92" s="106"/>
      <c r="G92" s="106"/>
      <c r="H92" s="106"/>
      <c r="I92" s="106"/>
      <c r="J92" s="106"/>
      <c r="K92" s="106"/>
      <c r="S92" s="87"/>
    </row>
    <row r="93" spans="1:19" s="3" customFormat="1" ht="12.75">
      <c r="A93" s="56"/>
      <c r="B93" s="34" t="s">
        <v>74</v>
      </c>
      <c r="C93" s="34"/>
      <c r="D93" s="8">
        <f aca="true" t="shared" si="17" ref="D93:I93">D11</f>
        <v>98792285.65</v>
      </c>
      <c r="E93" s="8">
        <f t="shared" si="17"/>
        <v>99673000</v>
      </c>
      <c r="F93" s="8">
        <f t="shared" si="17"/>
        <v>2296209.820000007</v>
      </c>
      <c r="G93" s="8">
        <f t="shared" si="17"/>
        <v>0</v>
      </c>
      <c r="H93" s="88">
        <f t="shared" si="17"/>
        <v>724067.13</v>
      </c>
      <c r="I93" s="88">
        <f t="shared" si="17"/>
        <v>64134.58999999997</v>
      </c>
      <c r="J93" s="88">
        <f>J11</f>
        <v>1572142.690000007</v>
      </c>
      <c r="K93" s="90"/>
      <c r="R93" s="87"/>
      <c r="S93" s="87"/>
    </row>
    <row r="94" spans="1:19" s="3" customFormat="1" ht="12.75">
      <c r="A94" s="56"/>
      <c r="B94" s="34" t="s">
        <v>75</v>
      </c>
      <c r="C94" s="34"/>
      <c r="D94" s="107">
        <f aca="true" t="shared" si="18" ref="D94:I94">D19</f>
        <v>40202430.2624</v>
      </c>
      <c r="E94" s="107">
        <f t="shared" si="18"/>
        <v>39070000</v>
      </c>
      <c r="F94" s="107">
        <f t="shared" si="18"/>
        <v>1253355.0453000013</v>
      </c>
      <c r="G94" s="107">
        <f t="shared" si="18"/>
        <v>0</v>
      </c>
      <c r="H94" s="101">
        <f t="shared" si="18"/>
        <v>159728.87988154142</v>
      </c>
      <c r="I94" s="101">
        <f t="shared" si="18"/>
        <v>270500.3601184586</v>
      </c>
      <c r="J94" s="101">
        <f>J19</f>
        <v>-235493.36011845857</v>
      </c>
      <c r="K94" s="106"/>
      <c r="R94" s="87"/>
      <c r="S94" s="87"/>
    </row>
    <row r="95" spans="1:19" s="3" customFormat="1" ht="12.75">
      <c r="A95" s="56"/>
      <c r="B95" s="34" t="s">
        <v>76</v>
      </c>
      <c r="C95" s="34"/>
      <c r="D95" s="107">
        <f aca="true" t="shared" si="19" ref="D95:I95">D35</f>
        <v>130703591.75</v>
      </c>
      <c r="E95" s="107">
        <f t="shared" si="19"/>
        <v>120200000</v>
      </c>
      <c r="F95" s="107">
        <f t="shared" si="19"/>
        <v>11959845.230000004</v>
      </c>
      <c r="G95" s="107">
        <f t="shared" si="19"/>
        <v>0</v>
      </c>
      <c r="H95" s="101">
        <f t="shared" si="19"/>
        <v>1816171.7976113327</v>
      </c>
      <c r="I95" s="101">
        <f t="shared" si="19"/>
        <v>2289189.312388667</v>
      </c>
      <c r="J95" s="101">
        <f>J35</f>
        <v>-1955143.3423886672</v>
      </c>
      <c r="K95" s="106"/>
      <c r="R95" s="87"/>
      <c r="S95" s="87"/>
    </row>
    <row r="96" spans="1:19" s="3" customFormat="1" ht="12.75" customHeight="1">
      <c r="A96" s="56"/>
      <c r="B96" s="34" t="s">
        <v>77</v>
      </c>
      <c r="C96" s="34"/>
      <c r="D96" s="107">
        <f aca="true" t="shared" si="20" ref="D96:I96">D54</f>
        <v>137811875.662</v>
      </c>
      <c r="E96" s="107">
        <f t="shared" si="20"/>
        <v>138250000</v>
      </c>
      <c r="F96" s="107">
        <f t="shared" si="20"/>
        <v>3682452.6740000015</v>
      </c>
      <c r="G96" s="107">
        <f t="shared" si="20"/>
        <v>1208772.84</v>
      </c>
      <c r="H96" s="101">
        <f t="shared" si="20"/>
        <v>1161536.96</v>
      </c>
      <c r="I96" s="101">
        <f t="shared" si="20"/>
        <v>381665.22000000003</v>
      </c>
      <c r="J96" s="101">
        <f>J54</f>
        <v>1733192.8916186525</v>
      </c>
      <c r="K96" s="106"/>
      <c r="R96" s="87"/>
      <c r="S96" s="87"/>
    </row>
    <row r="97" spans="1:19" s="3" customFormat="1" ht="12.75">
      <c r="A97" s="56"/>
      <c r="B97" s="34" t="s">
        <v>78</v>
      </c>
      <c r="C97" s="34"/>
      <c r="D97" s="107">
        <f aca="true" t="shared" si="21" ref="D97:I97">D61</f>
        <v>54299005.88368</v>
      </c>
      <c r="E97" s="107">
        <f t="shared" si="21"/>
        <v>52800000</v>
      </c>
      <c r="F97" s="107">
        <f t="shared" si="21"/>
        <v>1838044.9836799982</v>
      </c>
      <c r="G97" s="107">
        <f t="shared" si="21"/>
        <v>135634.64</v>
      </c>
      <c r="H97" s="101">
        <f t="shared" si="21"/>
        <v>316969.7640176007</v>
      </c>
      <c r="I97" s="101">
        <f t="shared" si="21"/>
        <v>379319.7459823993</v>
      </c>
      <c r="J97" s="101">
        <f>J61</f>
        <v>-274400.5659823993</v>
      </c>
      <c r="K97" s="106"/>
      <c r="R97" s="87"/>
      <c r="S97" s="87"/>
    </row>
    <row r="98" spans="1:19" s="3" customFormat="1" ht="12.75">
      <c r="A98" s="56"/>
      <c r="B98" s="34" t="s">
        <v>79</v>
      </c>
      <c r="C98" s="34"/>
      <c r="D98" s="107">
        <f aca="true" t="shared" si="22" ref="D98:I98">D77</f>
        <v>104821425.91999999</v>
      </c>
      <c r="E98" s="107">
        <f t="shared" si="22"/>
        <v>100750000</v>
      </c>
      <c r="F98" s="107">
        <f t="shared" si="22"/>
        <v>6251052.130000004</v>
      </c>
      <c r="G98" s="107">
        <f t="shared" si="22"/>
        <v>18522.840000000317</v>
      </c>
      <c r="H98" s="101">
        <f t="shared" si="22"/>
        <v>1971153.22</v>
      </c>
      <c r="I98" s="101">
        <f t="shared" si="22"/>
        <v>346361.87000000034</v>
      </c>
      <c r="J98" s="101">
        <f>J77</f>
        <v>176173.0180926475</v>
      </c>
      <c r="K98" s="106"/>
      <c r="R98" s="87"/>
      <c r="S98" s="87"/>
    </row>
    <row r="99" spans="1:19" s="3" customFormat="1" ht="12.75" customHeight="1">
      <c r="A99" s="56"/>
      <c r="B99" s="45" t="s">
        <v>80</v>
      </c>
      <c r="C99" s="34"/>
      <c r="D99" s="9">
        <f aca="true" t="shared" si="23" ref="D99:I99">D90</f>
        <v>101444168.019</v>
      </c>
      <c r="E99" s="9">
        <f t="shared" si="23"/>
        <v>96970000</v>
      </c>
      <c r="F99" s="9">
        <f t="shared" si="23"/>
        <v>5620922.420000002</v>
      </c>
      <c r="G99" s="9">
        <f t="shared" si="23"/>
        <v>1551369.0490000036</v>
      </c>
      <c r="H99" s="102">
        <f t="shared" si="23"/>
        <v>621618.9023206772</v>
      </c>
      <c r="I99" s="102">
        <f t="shared" si="23"/>
        <v>2037681.3986793205</v>
      </c>
      <c r="J99" s="102">
        <f>J90</f>
        <v>-1279770.3276793228</v>
      </c>
      <c r="K99" s="108"/>
      <c r="R99" s="87"/>
      <c r="S99" s="87"/>
    </row>
    <row r="100" spans="1:19" ht="21.75" customHeight="1">
      <c r="A100" s="109"/>
      <c r="B100" s="46" t="s">
        <v>81</v>
      </c>
      <c r="C100" s="47"/>
      <c r="D100" s="110">
        <f aca="true" t="shared" si="24" ref="D100:J100">D93+D94+D95+D96+D97+D98+D99</f>
        <v>668074783.14708</v>
      </c>
      <c r="E100" s="110">
        <f t="shared" si="24"/>
        <v>647713000</v>
      </c>
      <c r="F100" s="110">
        <f t="shared" si="24"/>
        <v>32901882.302980017</v>
      </c>
      <c r="G100" s="110">
        <f t="shared" si="24"/>
        <v>2914299.3690000037</v>
      </c>
      <c r="H100" s="153">
        <f t="shared" si="24"/>
        <v>6771246.653831152</v>
      </c>
      <c r="I100" s="153">
        <f t="shared" si="24"/>
        <v>5768852.4971688455</v>
      </c>
      <c r="J100" s="153">
        <f t="shared" si="24"/>
        <v>-263298.9964575409</v>
      </c>
      <c r="K100" s="111"/>
      <c r="R100" s="154">
        <f>SUM(R4:R89)</f>
        <v>11140124.422448836</v>
      </c>
      <c r="S100" s="87"/>
    </row>
    <row r="101" spans="1:11" ht="12.75">
      <c r="A101" s="112"/>
      <c r="K101" s="54"/>
    </row>
    <row r="102" spans="1:11" ht="12.75">
      <c r="A102" s="112"/>
      <c r="K102" s="54"/>
    </row>
    <row r="103" ht="12.75">
      <c r="A103" s="112"/>
    </row>
    <row r="104" ht="12.75">
      <c r="A104" s="112"/>
    </row>
    <row r="105" ht="12.75">
      <c r="A105" s="112"/>
    </row>
    <row r="106" ht="12.75">
      <c r="A106" s="112"/>
    </row>
    <row r="107" ht="12.75">
      <c r="A107" s="112"/>
    </row>
    <row r="108" ht="12.75">
      <c r="A108" s="112"/>
    </row>
    <row r="109" ht="12.75">
      <c r="A109" s="112"/>
    </row>
  </sheetData>
  <sheetProtection/>
  <printOptions gridLines="1" horizontalCentered="1" verticalCentered="1"/>
  <pageMargins left="0.3937007874015748" right="0" top="0.61" bottom="0.3937007874015748" header="0.1968503937007874" footer="0.1968503937007874"/>
  <pageSetup fitToHeight="2" horizontalDpi="300" verticalDpi="300" orientation="landscape" paperSize="9" scale="60" r:id="rId1"/>
  <headerFooter alignWithMargins="0">
    <oddHeader>&amp;L&amp;20
Case di Cura: compensazione regionale ai sensi del D.C. n. 65/2010: importo liquidabile e accantonamenti&amp;R&amp;22ALL. C</oddHeader>
    <oddFooter>&amp;R&amp;P di &amp;N</oddFooter>
  </headerFooter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Zazzaro</dc:creator>
  <cp:keywords/>
  <dc:description/>
  <cp:lastModifiedBy>Zazzaro</cp:lastModifiedBy>
  <cp:lastPrinted>2011-12-09T19:18:25Z</cp:lastPrinted>
  <dcterms:created xsi:type="dcterms:W3CDTF">2011-05-13T14:57:59Z</dcterms:created>
  <dcterms:modified xsi:type="dcterms:W3CDTF">2011-12-14T07:00:00Z</dcterms:modified>
  <cp:category/>
  <cp:version/>
  <cp:contentType/>
  <cp:contentStatus/>
</cp:coreProperties>
</file>