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llegato 1" sheetId="1" r:id="rId1"/>
  </sheets>
  <externalReferences>
    <externalReference r:id="rId4"/>
  </externalReferences>
  <definedNames>
    <definedName name="_xlnm.Print_Area" localSheetId="0">'allegato 1'!$A$1:$P$79</definedName>
    <definedName name="Excel_BuiltIn_Print_Titles_1_1">('[1]ESITO 2010'!$B$1:$B$65451,'[1]ESITO 2010'!$A$2:$IT$2)</definedName>
    <definedName name="Excel_BuiltIn_Print_Titles_1_1_1">('[1]ESITO 2010'!$B$2:$B$65379,'[1]ESITO 2010'!$A$2:$IT$2)</definedName>
    <definedName name="Excel_BuiltIn_Print_Titles_1_1_1_1">('[1]ESITO 2010'!$B$2:$B$65379,'[1]ESITO 2010'!$A$2:$IT$2)</definedName>
    <definedName name="Excel_BuiltIn_Print_Titles_2_1">("$#REF!.$A$2:$A$65492","$#REF!.$A$2:$IO$4")</definedName>
    <definedName name="Excel_BuiltIn_Print_Titles_2_1_1">("$#REF!.$A$2:$A$65492","$#REF!.$A$2:$IO$4")</definedName>
    <definedName name="Excel_BuiltIn_Print_Titles_2_1_1_1">('[1]ESITO 2010'!$B$2:$B$65359,'[1]ESITO 2010'!$A$2:$IT$2)</definedName>
    <definedName name="Excel_BuiltIn_Print_Titles_2_1_1_1_1">('[1]ESITO 2010'!$B$2:$B$65359,'[1]ESITO 2010'!$A$2:$IT$2)</definedName>
    <definedName name="_xlnm.Print_Titles" localSheetId="0">'allegato 1'!$1:$3</definedName>
  </definedNames>
  <calcPr fullCalcOnLoad="1"/>
</workbook>
</file>

<file path=xl/sharedStrings.xml><?xml version="1.0" encoding="utf-8"?>
<sst xmlns="http://schemas.openxmlformats.org/spreadsheetml/2006/main" count="164" uniqueCount="113">
  <si>
    <t>Limite di spesa 2011 dell'Assistenza Ospedaliera erogata dalle Case di Cura private: modifica del decreto n. 23/2011 - (importi in euro)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</si>
  <si>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</si>
  <si>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</si>
  <si>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</si>
  <si>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</si>
  <si>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</si>
  <si>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</si>
  <si>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</si>
  <si>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</si>
  <si>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</si>
  <si>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</si>
  <si>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</si>
  <si>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</si>
  <si>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</si>
  <si>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</si>
  <si>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</si>
  <si>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</si>
  <si>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Codice NSIS</t>
  </si>
  <si>
    <t xml:space="preserve"> Case di Cura private</t>
  </si>
  <si>
    <t>Passaggi di fascia (ex DCA n. 62/2011)</t>
  </si>
  <si>
    <t>Tetto 2010 (DCA n. 65 del 22/10/2011)</t>
  </si>
  <si>
    <t>Tetto di spesa 2011 DCA 23/2011</t>
  </si>
  <si>
    <t>Incremento per passaggio di fascia ex DCA 62/2011= (fatturato 2010 netto controlli -Tetto 2010) x 15%</t>
  </si>
  <si>
    <t>Incremento per prestazioni di alta specialità</t>
  </si>
  <si>
    <t>Incremento per Posti Letto di Terapia Intensiva = n° PL  T.I. x 30 mila</t>
  </si>
  <si>
    <t>Incremento per riabilitazione cod 56 del 2% e cod 75 del 5%</t>
  </si>
  <si>
    <t>Incremento di 1% per  variazione tariffe sui ricoveri per acuti e neuropsichiatria</t>
  </si>
  <si>
    <t>Tetto di spesa 2011 DCA 23/2011 aggiornato</t>
  </si>
  <si>
    <t xml:space="preserve">% Tetto di spesa 2011 DCA 23/2011 aggiornato / Fatturato 2010 al netto dei controlli </t>
  </si>
  <si>
    <t>Se % col. M &lt; 80% del fatturato netto controlli 2010, allora incremento fino all'80%</t>
  </si>
  <si>
    <t>NUOVO TETTO 2011</t>
  </si>
  <si>
    <t xml:space="preserve">% Nuovo Tetto 2011 / Fatturato 2010 al netto dei controlli </t>
  </si>
  <si>
    <t xml:space="preserve"> A.S.L. AVELLINO</t>
  </si>
  <si>
    <t xml:space="preserve"> </t>
  </si>
  <si>
    <t>Casa di Cura Villa Esther S.p.A.</t>
  </si>
  <si>
    <t>da B a A</t>
  </si>
  <si>
    <t>Casa di Cura Villa Maria s.r.l. Baiano</t>
  </si>
  <si>
    <t>Casa di Cura S.Rita S.p.A.</t>
  </si>
  <si>
    <t>Villa Julie s.r.l. Casa di Cura Villa Maria Mirabella</t>
  </si>
  <si>
    <t>Casa di Cura Villa dei Pini S.p.A.</t>
  </si>
  <si>
    <t>Casa di Cura Privata Montevergine S.p.A.</t>
  </si>
  <si>
    <t>Casa di Cura Privata Malzoni-Villa dei Platani S.p.A.</t>
  </si>
  <si>
    <t>A.S.L. BENEVENTO</t>
  </si>
  <si>
    <t>Casa di Cura GE.P.O.S. s.r.l.</t>
  </si>
  <si>
    <t>Casa di Cura Nuova Clinica S.Rita S.p.A.</t>
  </si>
  <si>
    <t>Casa di cura San Francesco</t>
  </si>
  <si>
    <t>da C a B</t>
  </si>
  <si>
    <t>C.M.R. S.p.A. Centro Medico Diagnostico e Riabilitaz.</t>
  </si>
  <si>
    <t xml:space="preserve">Casa di Cura Privata Villa Margherita s.r.l. </t>
  </si>
  <si>
    <t>A.S.L. CASERTA</t>
  </si>
  <si>
    <t>Clinica Sant'Anna s.r.l.</t>
  </si>
  <si>
    <r>
      <t>Casa di Cura Villa</t>
    </r>
    <r>
      <rPr>
        <sz val="10"/>
        <rFont val="Arial"/>
        <family val="2"/>
      </rPr>
      <t xml:space="preserve"> Del Sole S.p.A.</t>
    </r>
  </si>
  <si>
    <r>
      <t xml:space="preserve">Casa di Cura Villa </t>
    </r>
    <r>
      <rPr>
        <sz val="10"/>
        <rFont val="Arial"/>
        <family val="2"/>
      </rPr>
      <t>Fiorita - Aversa S.p.A.</t>
    </r>
  </si>
  <si>
    <t xml:space="preserve">Casa di Cura Alba Clinica S.Paolo </t>
  </si>
  <si>
    <t>da C a A</t>
  </si>
  <si>
    <t>Clinica  San Michele s.r.l.</t>
  </si>
  <si>
    <t xml:space="preserve">Minerva S.p.A. Casa di Cura S. Maria della Salute </t>
  </si>
  <si>
    <t>Casa di Cura Villa Dei Pini Atena S.p.A.</t>
  </si>
  <si>
    <t>Casa di Cura Villa Ortensia CALES s.r.l.</t>
  </si>
  <si>
    <t>GE.IS. s.r.l. Casa di Cura Villa degli Ulivi</t>
  </si>
  <si>
    <r>
      <t>Casa di Cura Villa</t>
    </r>
    <r>
      <rPr>
        <sz val="10"/>
        <rFont val="Arial"/>
        <family val="2"/>
      </rPr>
      <t xml:space="preserve"> Delle Magnolie Rerif s.r.l.</t>
    </r>
  </si>
  <si>
    <t>Clinica Padre Pio s.r.l.</t>
  </si>
  <si>
    <t>A.S.L. NAPOLI 1 Centro</t>
  </si>
  <si>
    <t>Casa di Cura Ospedale Internazionale</t>
  </si>
  <si>
    <t>Clinica Villalba</t>
  </si>
  <si>
    <t xml:space="preserve">Alma Mater S.p.A. Casa di Cura Villa Camaldoli </t>
  </si>
  <si>
    <t xml:space="preserve">Casa di Cura Villa Angela </t>
  </si>
  <si>
    <t>Casa di Cura Clinic Center  S.p.A.</t>
  </si>
  <si>
    <t>Casa di Cura Villa Russo</t>
  </si>
  <si>
    <t>Casa di Cura Hermitage Capodimonte S.p.A. Colucci</t>
  </si>
  <si>
    <t>Casa di Cura Villa Delle Querce</t>
  </si>
  <si>
    <t>Clinica Vesuvio s.r.l.</t>
  </si>
  <si>
    <t>Casa di Cura Mediterranea S.p.A.</t>
  </si>
  <si>
    <t>Clinica Santa Patrizia</t>
  </si>
  <si>
    <r>
      <t>Casa di Cura Villa</t>
    </r>
    <r>
      <rPr>
        <sz val="10"/>
        <rFont val="Arial"/>
        <family val="2"/>
      </rPr>
      <t xml:space="preserve"> Cinzia</t>
    </r>
  </si>
  <si>
    <t>Casa di Cura Villa Bianca S.p.A. (ex Tasso)</t>
  </si>
  <si>
    <t>Clinica Sanatrix S.p.A.</t>
  </si>
  <si>
    <t xml:space="preserve">Stazione Climatica Bianchi </t>
  </si>
  <si>
    <t>Casa di Cura Santo Stefano S.p.A.</t>
  </si>
  <si>
    <t>A.S.L. NAPOLI 2 Nord</t>
  </si>
  <si>
    <t>Casa di Cura Villa Majone s.r.l.</t>
  </si>
  <si>
    <t xml:space="preserve">Casa di Cura S.Antimo </t>
  </si>
  <si>
    <r>
      <t>Casa di Cura Villa</t>
    </r>
    <r>
      <rPr>
        <sz val="10"/>
        <rFont val="Arial"/>
        <family val="2"/>
      </rPr>
      <t xml:space="preserve"> Dei Fiori s.r.l. Mugnano</t>
    </r>
  </si>
  <si>
    <t>A.S.L. NAPOLI 3 Sud</t>
  </si>
  <si>
    <t>Casa di Cura La Madonnina s.r.l.</t>
  </si>
  <si>
    <t>Casa di Cura Nostra Signora di Lourdes S.p.A.</t>
  </si>
  <si>
    <t>Casa di Cura S. Maria La Bruna s.r.l.</t>
  </si>
  <si>
    <t>Casa di Cura Villa Stabia S.p.A.</t>
  </si>
  <si>
    <t>Casa di Cura Villa Elisa S.p.A.</t>
  </si>
  <si>
    <t>Casa di Cura Trusso s.r.l.</t>
  </si>
  <si>
    <t>Casa di Cura Maria Rosaria S.p.A.</t>
  </si>
  <si>
    <t xml:space="preserve">Casa di Cura Santa Lucia s.r.l. </t>
  </si>
  <si>
    <t>Casa di Cura Andrea Grimaldi s.r.l.</t>
  </si>
  <si>
    <t xml:space="preserve">Casa di Cura Villa Delle Margherite s.n.c. </t>
  </si>
  <si>
    <t>Casa di Cura Meluccio s.r.l.</t>
  </si>
  <si>
    <t>Casa di Cura Clinica S.Felice s.r.l.</t>
  </si>
  <si>
    <t>Casa di Cura S.Maria Del Pozzo C.E.M. S.p.A.</t>
  </si>
  <si>
    <t xml:space="preserve"> A.S.L. SALERNO</t>
  </si>
  <si>
    <r>
      <t>Casa di Cura Villa</t>
    </r>
    <r>
      <rPr>
        <sz val="10"/>
        <rFont val="Arial"/>
        <family val="2"/>
      </rPr>
      <t xml:space="preserve"> Del Sole</t>
    </r>
  </si>
  <si>
    <t>Casa di Cura  Malzoni di Agropoli S.p.A.</t>
  </si>
  <si>
    <t>Casa di Cura La Quiete s.r.l.</t>
  </si>
  <si>
    <t>Casa di Cura Maria Venosa s.r.l.</t>
  </si>
  <si>
    <t>Casa di Cura Salus Battipaglia</t>
  </si>
  <si>
    <t xml:space="preserve">Campolongo Hospital S.p.A. C.E.M.F.R. Eboli </t>
  </si>
  <si>
    <t>Casa di Cura “Prof.Dott. Luigi Cobellis s.r.l.”.</t>
  </si>
  <si>
    <t>Casa di Cura  Tortorella</t>
  </si>
  <si>
    <t>Casa di Cura Villa Chiarugi s.r.l.</t>
  </si>
  <si>
    <t>Villa SILBA (da verificare)</t>
  </si>
  <si>
    <t xml:space="preserve">TOTALE </t>
  </si>
  <si>
    <t xml:space="preserve">Accantonamento per ogni eventuale esigenza rettificativa: </t>
  </si>
  <si>
    <t xml:space="preserve">TOTALE nuovo TETTO di SPESA 2011: </t>
  </si>
  <si>
    <r>
      <t>Fatturato 2010 al netto dei controlli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(dati rilevati ai fini della compensazione regionale prevista dal decreto 65/2010)</t>
    </r>
  </si>
  <si>
    <r>
      <t>Casa di Cura Villa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Fiorita S.p.A. (</t>
    </r>
    <r>
      <rPr>
        <sz val="10"/>
        <rFont val="Arial"/>
        <family val="2"/>
      </rPr>
      <t>Capua)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</si>
</sst>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€ &quot;#,##0.00\ ;&quot;-€ &quot;#,##0.00\ ;&quot; € -&quot;#\ ;@\ "/>
    <numFmt numFmtId="165" formatCode="#,##0.00\ ;\-#,##0.00\ ;&quot; -&quot;#\ ;@\ "/>
    <numFmt numFmtId="166" formatCode="_-* #,##0.00_-;\-* #,##0.00_-;_-* \-??_-;_-@_-"/>
    <numFmt numFmtId="167" formatCode="#,##0\ ;\-#,##0\ ;&quot; - &quot;;@\ "/>
    <numFmt numFmtId="168" formatCode="0.0%"/>
    <numFmt numFmtId="169" formatCode="_-* #,##0_-;\-* #,##0_-;_-* \-??_-;_-@_-"/>
    <numFmt numFmtId="170" formatCode="&quot;€ &quot;#,##0.00"/>
    <numFmt numFmtId="171" formatCode="#,###.00"/>
    <numFmt numFmtId="172" formatCode="_-&quot;€ &quot;* #,##0.00_-;&quot;-€ &quot;* #,##0.00_-;_-&quot;€ &quot;* \-??_-;_-@_-"/>
    <numFmt numFmtId="173" formatCode="#,##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5" borderId="3" applyNumberFormat="0" applyAlignment="0" applyProtection="0"/>
    <xf numFmtId="0" fontId="6" fillId="15" borderId="3" applyNumberForma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5" fillId="0" borderId="2" applyNumberFormat="0" applyFill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14" borderId="0" applyNumberFormat="0" applyBorder="0" applyAlignment="0" applyProtection="0"/>
    <xf numFmtId="0" fontId="8" fillId="18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" fontId="23" fillId="0" borderId="17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" fontId="25" fillId="0" borderId="13" xfId="0" applyNumberFormat="1" applyFont="1" applyFill="1" applyBorder="1" applyAlignment="1">
      <alignment horizontal="left"/>
    </xf>
    <xf numFmtId="4" fontId="25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28" fillId="0" borderId="14" xfId="0" applyNumberFormat="1" applyFont="1" applyFill="1" applyBorder="1" applyAlignment="1">
      <alignment horizontal="left"/>
    </xf>
    <xf numFmtId="4" fontId="29" fillId="0" borderId="15" xfId="79" applyNumberFormat="1" applyFont="1" applyFill="1" applyBorder="1" applyAlignment="1" applyProtection="1">
      <alignment horizontal="left" wrapText="1"/>
      <protection/>
    </xf>
    <xf numFmtId="4" fontId="27" fillId="0" borderId="15" xfId="79" applyNumberFormat="1" applyFont="1" applyFill="1" applyBorder="1" applyAlignment="1" applyProtection="1">
      <alignment horizontal="center"/>
      <protection/>
    </xf>
    <xf numFmtId="4" fontId="29" fillId="0" borderId="15" xfId="80" applyNumberFormat="1" applyFont="1" applyFill="1" applyBorder="1" applyAlignment="1" applyProtection="1">
      <alignment/>
      <protection/>
    </xf>
    <xf numFmtId="4" fontId="29" fillId="0" borderId="15" xfId="78" applyNumberFormat="1" applyFont="1" applyFill="1" applyBorder="1" applyAlignment="1" applyProtection="1">
      <alignment horizontal="right"/>
      <protection/>
    </xf>
    <xf numFmtId="4" fontId="29" fillId="0" borderId="15" xfId="0" applyNumberFormat="1" applyFont="1" applyFill="1" applyBorder="1" applyAlignment="1">
      <alignment/>
    </xf>
    <xf numFmtId="4" fontId="29" fillId="0" borderId="15" xfId="0" applyNumberFormat="1" applyFont="1" applyFill="1" applyBorder="1" applyAlignment="1">
      <alignment horizontal="right"/>
    </xf>
    <xf numFmtId="168" fontId="0" fillId="0" borderId="15" xfId="86" applyNumberFormat="1" applyFill="1" applyBorder="1" applyAlignment="1" applyProtection="1">
      <alignment horizontal="center" vertical="center"/>
      <protection/>
    </xf>
    <xf numFmtId="168" fontId="0" fillId="0" borderId="16" xfId="86" applyNumberFormat="1" applyFill="1" applyBorder="1" applyAlignment="1" applyProtection="1">
      <alignment horizontal="center" vertical="center"/>
      <protection/>
    </xf>
    <xf numFmtId="168" fontId="0" fillId="0" borderId="0" xfId="86" applyNumberFormat="1" applyFill="1" applyBorder="1" applyAlignment="1" applyProtection="1">
      <alignment horizontal="center" vertical="center"/>
      <protection/>
    </xf>
    <xf numFmtId="4" fontId="29" fillId="0" borderId="0" xfId="0" applyNumberFormat="1" applyFont="1" applyFill="1" applyAlignment="1">
      <alignment/>
    </xf>
    <xf numFmtId="168" fontId="30" fillId="0" borderId="15" xfId="86" applyNumberFormat="1" applyFont="1" applyFill="1" applyBorder="1" applyAlignment="1" applyProtection="1">
      <alignment horizontal="center" vertical="center"/>
      <protection/>
    </xf>
    <xf numFmtId="4" fontId="29" fillId="0" borderId="15" xfId="0" applyNumberFormat="1" applyFont="1" applyFill="1" applyBorder="1" applyAlignment="1">
      <alignment horizontal="right" vertical="center" wrapText="1"/>
    </xf>
    <xf numFmtId="4" fontId="29" fillId="0" borderId="15" xfId="79" applyNumberFormat="1" applyFont="1" applyFill="1" applyBorder="1" applyAlignment="1" applyProtection="1">
      <alignment horizontal="center"/>
      <protection/>
    </xf>
    <xf numFmtId="4" fontId="29" fillId="0" borderId="15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center"/>
    </xf>
    <xf numFmtId="168" fontId="0" fillId="0" borderId="0" xfId="86" applyNumberFormat="1" applyFill="1" applyBorder="1" applyAlignment="1" applyProtection="1">
      <alignment horizontal="left"/>
      <protection/>
    </xf>
    <xf numFmtId="4" fontId="29" fillId="0" borderId="15" xfId="79" applyNumberFormat="1" applyFont="1" applyFill="1" applyBorder="1" applyAlignment="1" applyProtection="1">
      <alignment horizontal="center"/>
      <protection/>
    </xf>
    <xf numFmtId="4" fontId="29" fillId="0" borderId="15" xfId="0" applyNumberFormat="1" applyFont="1" applyFill="1" applyBorder="1" applyAlignment="1">
      <alignment horizontal="left" wrapText="1"/>
    </xf>
    <xf numFmtId="4" fontId="29" fillId="0" borderId="15" xfId="0" applyNumberFormat="1" applyFont="1" applyFill="1" applyBorder="1" applyAlignment="1">
      <alignment/>
    </xf>
    <xf numFmtId="4" fontId="29" fillId="0" borderId="15" xfId="86" applyNumberFormat="1" applyFont="1" applyFill="1" applyBorder="1" applyAlignment="1" applyProtection="1">
      <alignment horizontal="right" vertical="center"/>
      <protection/>
    </xf>
    <xf numFmtId="4" fontId="25" fillId="0" borderId="0" xfId="0" applyNumberFormat="1" applyFont="1" applyFill="1" applyBorder="1" applyAlignment="1">
      <alignment horizontal="left" wrapText="1"/>
    </xf>
    <xf numFmtId="4" fontId="29" fillId="0" borderId="15" xfId="0" applyNumberFormat="1" applyFont="1" applyFill="1" applyBorder="1" applyAlignment="1">
      <alignment horizontal="center"/>
    </xf>
    <xf numFmtId="1" fontId="23" fillId="0" borderId="17" xfId="79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left"/>
    </xf>
    <xf numFmtId="4" fontId="31" fillId="0" borderId="15" xfId="0" applyNumberFormat="1" applyFont="1" applyFill="1" applyBorder="1" applyAlignment="1">
      <alignment horizontal="center"/>
    </xf>
    <xf numFmtId="168" fontId="0" fillId="0" borderId="15" xfId="86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 horizontal="right"/>
    </xf>
    <xf numFmtId="168" fontId="0" fillId="0" borderId="0" xfId="86" applyNumberForma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>
      <alignment horizontal="right"/>
    </xf>
    <xf numFmtId="168" fontId="0" fillId="0" borderId="13" xfId="86" applyNumberFormat="1" applyFill="1" applyBorder="1" applyAlignment="1" applyProtection="1">
      <alignment horizontal="center"/>
      <protection/>
    </xf>
    <xf numFmtId="1" fontId="29" fillId="0" borderId="18" xfId="0" applyNumberFormat="1" applyFont="1" applyFill="1" applyBorder="1" applyAlignment="1">
      <alignment horizontal="left"/>
    </xf>
    <xf numFmtId="0" fontId="29" fillId="0" borderId="19" xfId="0" applyFont="1" applyFill="1" applyBorder="1" applyAlignment="1">
      <alignment horizontal="justify"/>
    </xf>
    <xf numFmtId="4" fontId="29" fillId="0" borderId="19" xfId="0" applyNumberFormat="1" applyFont="1" applyFill="1" applyBorder="1" applyAlignment="1">
      <alignment horizontal="justify"/>
    </xf>
    <xf numFmtId="4" fontId="29" fillId="0" borderId="19" xfId="86" applyNumberFormat="1" applyFont="1" applyFill="1" applyBorder="1" applyAlignment="1" applyProtection="1">
      <alignment horizontal="justify"/>
      <protection/>
    </xf>
    <xf numFmtId="4" fontId="29" fillId="0" borderId="19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4" fontId="25" fillId="0" borderId="19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4" fontId="29" fillId="0" borderId="11" xfId="86" applyNumberFormat="1" applyFont="1" applyFill="1" applyBorder="1" applyAlignment="1" applyProtection="1">
      <alignment horizontal="center"/>
      <protection/>
    </xf>
    <xf numFmtId="4" fontId="25" fillId="0" borderId="11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4" fontId="29" fillId="0" borderId="20" xfId="86" applyNumberFormat="1" applyFont="1" applyFill="1" applyBorder="1" applyAlignment="1" applyProtection="1">
      <alignment horizontal="center"/>
      <protection/>
    </xf>
    <xf numFmtId="4" fontId="29" fillId="0" borderId="0" xfId="86" applyNumberFormat="1" applyFont="1" applyFill="1" applyBorder="1" applyAlignment="1" applyProtection="1">
      <alignment horizontal="center"/>
      <protection/>
    </xf>
    <xf numFmtId="1" fontId="29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justify"/>
    </xf>
    <xf numFmtId="4" fontId="29" fillId="0" borderId="0" xfId="0" applyNumberFormat="1" applyFont="1" applyFill="1" applyBorder="1" applyAlignment="1">
      <alignment horizontal="justify"/>
    </xf>
    <xf numFmtId="4" fontId="29" fillId="0" borderId="0" xfId="86" applyNumberFormat="1" applyFont="1" applyFill="1" applyBorder="1" applyAlignment="1" applyProtection="1">
      <alignment horizontal="justify"/>
      <protection/>
    </xf>
    <xf numFmtId="4" fontId="25" fillId="0" borderId="0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86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>
      <alignment horizontal="justify" vertical="center" wrapText="1"/>
    </xf>
    <xf numFmtId="165" fontId="32" fillId="0" borderId="0" xfId="78" applyFont="1" applyFill="1" applyBorder="1" applyAlignment="1" applyProtection="1">
      <alignment/>
      <protection/>
    </xf>
    <xf numFmtId="1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wrapText="1"/>
    </xf>
    <xf numFmtId="4" fontId="29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Migliaia_Angela Budget 2011 v. 4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itolo_ARSAN_CdC al 30.9.11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egato%20n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2"/>
      <sheetName val="proiez 2011"/>
      <sheetName val="allegato 3 calcoli ARSan alta s"/>
      <sheetName val="calcoli terapie intensive"/>
      <sheetName val="calcoli riabilitazione"/>
      <sheetName val="calcoli ARSan alta specialità"/>
      <sheetName val="ESITO 2010"/>
      <sheetName val="Casa di cura Cobellis"/>
    </sheetNames>
    <sheetDataSet>
      <sheetData sheetId="3">
        <row r="9">
          <cell r="G9">
            <v>390000</v>
          </cell>
        </row>
        <row r="10">
          <cell r="G10">
            <v>330000</v>
          </cell>
        </row>
        <row r="25">
          <cell r="G25">
            <v>630000</v>
          </cell>
        </row>
        <row r="44">
          <cell r="G44">
            <v>510000</v>
          </cell>
        </row>
      </sheetData>
      <sheetData sheetId="5">
        <row r="2">
          <cell r="F2">
            <v>652042.6874865629</v>
          </cell>
        </row>
        <row r="3">
          <cell r="F3">
            <v>116492.17111111525</v>
          </cell>
        </row>
        <row r="4">
          <cell r="F4">
            <v>339703.25503629074</v>
          </cell>
        </row>
        <row r="9">
          <cell r="F9">
            <v>464768.3766355701</v>
          </cell>
        </row>
      </sheetData>
      <sheetData sheetId="6">
        <row r="1">
          <cell r="B1" t="str">
            <v>Importi in EURO</v>
          </cell>
        </row>
        <row r="2">
          <cell r="A2" t="str">
            <v>Codice NSIS</v>
          </cell>
          <cell r="B2" t="str">
            <v>Assistenza Ospedaliera erogata dalle Case di Cura private</v>
          </cell>
          <cell r="D2" t="str">
            <v>Passaggio di fascia in corso di verifica (ex decreto n. 65/2010)</v>
          </cell>
          <cell r="E2" t="str">
            <v>Fatturato 2010</v>
          </cell>
          <cell r="F2" t="str">
            <v>Conguagli per passaggi di fascia: decreto n° 62 del 22/8/2011</v>
          </cell>
          <cell r="G2" t="str">
            <v>Contestazioni sulle tariffe</v>
          </cell>
          <cell r="H2" t="str">
            <v>Abbattimenti per superamento soglie</v>
          </cell>
          <cell r="I2" t="str">
            <v>Altre contestazioni per controlli ecc.</v>
          </cell>
          <cell r="J2" t="str">
            <v>Abbattimento dei conguagli di col. (B) in proporzione alle riduzioni di col. (D) ed (E)</v>
          </cell>
          <cell r="K2" t="str">
            <v>NOTE</v>
          </cell>
          <cell r="L2" t="str">
            <v>Fatturato 2010 al netto dei controlli (dati ASL al 9/11/2011)</v>
          </cell>
          <cell r="M2" t="str">
            <v>TETTO 2010 (decreto n. 65 del 22/10/2011)</v>
          </cell>
          <cell r="N2" t="str">
            <v>Fatturato riconoscibile ma eccedente il tetto di spesa</v>
          </cell>
          <cell r="O2" t="str">
            <v>tetto non utilizzato, disponibile per compensazione regionale</v>
          </cell>
          <cell r="P2" t="str">
            <v>Compensazione Regionale ai sensi del decreto 65/2010</v>
          </cell>
          <cell r="Q2" t="str">
            <v>Regressione tariffaria dopo compensazione regionale</v>
          </cell>
          <cell r="R2" t="str">
            <v>Note Credito da emettere vs. la ASL competente (per regressione tariffaria)</v>
          </cell>
          <cell r="S2" t="str">
            <v>Note Credito da emettere vs. la Regione Campania (eventuali)</v>
          </cell>
          <cell r="V2" t="str">
            <v>Tetto di spesa 2011 DCA 23/2011</v>
          </cell>
          <cell r="W2" t="str">
            <v>% Tetto 2011 / Fatturato al netto dei controlli 2010</v>
          </cell>
          <cell r="X2" t="str">
            <v>differenza addendum=(fatturato lordo 2010-Tetto 2010 )*20% per cambio fascia</v>
          </cell>
          <cell r="Y2" t="str">
            <v>riabilitazione</v>
          </cell>
          <cell r="Z2" t="str">
            <v>alta spec</v>
          </cell>
          <cell r="AA2" t="str">
            <v>*Tetto 2011&lt;80% del fatturato al netto dei controlli 2010 si dà il tetto 2010</v>
          </cell>
          <cell r="AB2" t="str">
            <v>integrazione per lavori</v>
          </cell>
          <cell r="AC2" t="str">
            <v>terapie intensive P.L.</v>
          </cell>
          <cell r="AD2" t="str">
            <v>UTIC P.L.</v>
          </cell>
          <cell r="AE2" t="str">
            <v>TIN P.L.</v>
          </cell>
          <cell r="AF2" t="str">
            <v>totale</v>
          </cell>
          <cell r="AG2" t="str">
            <v>importo per terapie intensive</v>
          </cell>
          <cell r="AH2" t="str">
            <v>NUOVO TETTO 2011</v>
          </cell>
          <cell r="AI2" t="str">
            <v>% Nuovo Tetto 2011 / Fatturato liquidabile 2010</v>
          </cell>
          <cell r="AJ2" t="str">
            <v> ipotesi AIOP</v>
          </cell>
          <cell r="AK2" t="str">
            <v>differenza con ipotesi AIOP</v>
          </cell>
        </row>
        <row r="4">
          <cell r="B4" t="str">
            <v>Casa di Cura Villa Esther S.p.A.</v>
          </cell>
        </row>
        <row r="5">
          <cell r="B5" t="str">
            <v>Casa di Cura Villa Maria s.r.l. Baiano</v>
          </cell>
        </row>
        <row r="6">
          <cell r="B6" t="str">
            <v>Casa di Cura S.Rita S.p.A.</v>
          </cell>
        </row>
        <row r="7">
          <cell r="B7" t="str">
            <v>Villa Julie s.r.l. Casa di Cura Villa Maria Mirabella</v>
          </cell>
        </row>
        <row r="8">
          <cell r="B8" t="str">
            <v>Casa di Cura Villa dei Pini S.p.A.</v>
          </cell>
        </row>
        <row r="9">
          <cell r="B9" t="str">
            <v>Casa di Cura Privata Montevergine S.p.A.</v>
          </cell>
        </row>
        <row r="10">
          <cell r="B10" t="str">
            <v>Casa di Cura Privata Malzoni-Villa dei Platani S.p.A.</v>
          </cell>
        </row>
        <row r="11">
          <cell r="B11" t="str">
            <v>TOTALE</v>
          </cell>
        </row>
        <row r="14">
          <cell r="B14" t="str">
            <v>Casa di Cura GE.P.O.S. s.r.l.</v>
          </cell>
        </row>
        <row r="15">
          <cell r="B15" t="str">
            <v>Casa di Cura Nuova Clinica S.Rita S.p.A.</v>
          </cell>
        </row>
        <row r="16">
          <cell r="B16" t="str">
            <v>Casa di cura San Francesco</v>
          </cell>
        </row>
        <row r="17">
          <cell r="B17" t="str">
            <v>C.M.R. S.p.A. Centro Medico Diagnostico e Riabilitaz.</v>
          </cell>
        </row>
        <row r="18">
          <cell r="B18" t="str">
            <v>Casa di Cura Privata Villa Margherita s.r.l.</v>
          </cell>
        </row>
        <row r="19">
          <cell r="B19" t="str">
            <v>TOTALE</v>
          </cell>
        </row>
        <row r="22">
          <cell r="B22" t="str">
            <v>Clinica Sant'Anna s.r.l.</v>
          </cell>
        </row>
        <row r="23">
          <cell r="B23" t="str">
            <v>Casa di Cura Villa Del Sole S.p.A.</v>
          </cell>
        </row>
        <row r="24">
          <cell r="B24" t="str">
            <v>Casa di Cura Villa Fiorita - Aversa S.p.A.</v>
          </cell>
        </row>
        <row r="25">
          <cell r="B25" t="str">
            <v>Casa di Cura Alba Clinica S.Paolo </v>
          </cell>
        </row>
        <row r="26">
          <cell r="B26" t="str">
            <v>Casa di Cura Villa Fiorita S.p.A. (Capua)</v>
          </cell>
        </row>
        <row r="27">
          <cell r="B27" t="str">
            <v>Clinica  San Michele s.r.l.</v>
          </cell>
        </row>
        <row r="28">
          <cell r="B28" t="str">
            <v>Casa di Cura  Pineta Grande S.p.A.</v>
          </cell>
        </row>
        <row r="29">
          <cell r="B29" t="str">
            <v>Minerva S.p.A. Casa di Cura S. Maria della Salute </v>
          </cell>
        </row>
        <row r="30">
          <cell r="B30" t="str">
            <v>Casa di Cura Villa Dei Pini Atena S.p.A.</v>
          </cell>
        </row>
        <row r="31">
          <cell r="B31" t="str">
            <v>Casa di Cura Villa Ortensia CALES s.r.l.</v>
          </cell>
        </row>
        <row r="32">
          <cell r="B32" t="str">
            <v>GE.IS. s.r.l. Casa di Cura Villa degli Ulivi</v>
          </cell>
        </row>
        <row r="33">
          <cell r="B33" t="str">
            <v>Casa di Cura Villa Delle Magnolie Rerif s.r.l.</v>
          </cell>
        </row>
        <row r="34">
          <cell r="B34" t="str">
            <v>Clinica Padre Pio s.r.l.</v>
          </cell>
        </row>
        <row r="35">
          <cell r="B35" t="str">
            <v>TOTALE</v>
          </cell>
        </row>
        <row r="38">
          <cell r="B38" t="str">
            <v>Casa di Cura Ospedale Internazionale</v>
          </cell>
        </row>
        <row r="39">
          <cell r="B39" t="str">
            <v>Clinica VILLALBA</v>
          </cell>
        </row>
        <row r="40">
          <cell r="B40" t="str">
            <v>Alma Mater S.p.A. Casa di Cura Villa Camaldoli </v>
          </cell>
        </row>
        <row r="41">
          <cell r="B41" t="str">
            <v>Casa di Cura Villa Angela </v>
          </cell>
        </row>
        <row r="42">
          <cell r="B42" t="str">
            <v>Casa di Cura Clinic Center  S.p.A.</v>
          </cell>
        </row>
        <row r="43">
          <cell r="B43" t="str">
            <v>Casa di Cura Villa Russo</v>
          </cell>
        </row>
        <row r="44">
          <cell r="B44" t="str">
            <v>Casa di Cura Hermitage Capodimonte S.p.A. Colucci</v>
          </cell>
        </row>
        <row r="45">
          <cell r="B45" t="str">
            <v>Casa di Cura Villa Delle Querce</v>
          </cell>
        </row>
        <row r="46">
          <cell r="B46" t="str">
            <v>Clinica Vesuvio s.r.l.</v>
          </cell>
        </row>
        <row r="47">
          <cell r="B47" t="str">
            <v>Casa di Cura Mediterranea S.p.A.</v>
          </cell>
        </row>
        <row r="48">
          <cell r="B48" t="str">
            <v>Clinica Santa Patrizia</v>
          </cell>
        </row>
        <row r="49">
          <cell r="B49" t="str">
            <v>Casa di Cura Villa Cinzia</v>
          </cell>
        </row>
        <row r="50">
          <cell r="B50" t="str">
            <v>Casa di Cura Villa Bianca S.p.A. (ex Tasso)</v>
          </cell>
        </row>
        <row r="51">
          <cell r="B51" t="str">
            <v>Clinica Sanatrix S.p.A.</v>
          </cell>
        </row>
        <row r="52">
          <cell r="B52" t="str">
            <v>Stazione Climatica Bianchi</v>
          </cell>
        </row>
        <row r="53">
          <cell r="B53" t="str">
            <v>Casa di Cura Santo Stefano S.p.A.</v>
          </cell>
        </row>
        <row r="54">
          <cell r="B54" t="str">
            <v>TOTALE</v>
          </cell>
        </row>
        <row r="57">
          <cell r="B57" t="str">
            <v>Casa di Cura Privata Villa Dei Fiori s.r.l. Acerra</v>
          </cell>
        </row>
        <row r="58">
          <cell r="B58" t="str">
            <v>Casa di Cura Villa Majone s.r.l.</v>
          </cell>
        </row>
        <row r="59">
          <cell r="B59" t="str">
            <v>Casa di Cura S.Antimo </v>
          </cell>
        </row>
        <row r="60">
          <cell r="B60" t="str">
            <v>Casa di Cura Villa Dei Fiori s.r.l. Mugnano</v>
          </cell>
        </row>
        <row r="61">
          <cell r="B61" t="str">
            <v>TOTALE</v>
          </cell>
        </row>
        <row r="64">
          <cell r="B64" t="str">
            <v>Casa di Cura La Madonnina s.r.l.</v>
          </cell>
        </row>
        <row r="65">
          <cell r="B65" t="str">
            <v>Casa di Cura Nostra Signora di Lourdes S.p.A.</v>
          </cell>
        </row>
        <row r="66">
          <cell r="B66" t="str">
            <v>Casa di Cura S. Maria La Bruna s.r.l.</v>
          </cell>
        </row>
        <row r="67">
          <cell r="B67" t="str">
            <v>Casa di Cura Villa Stabia S.p.A.</v>
          </cell>
        </row>
        <row r="68">
          <cell r="B68" t="str">
            <v>Casa di Cura Villa Elisa S.p.A.</v>
          </cell>
        </row>
        <row r="69">
          <cell r="B69" t="str">
            <v>Casa di Cura Trusso s.r.l.</v>
          </cell>
        </row>
        <row r="70">
          <cell r="B70" t="str">
            <v>Casa di Cura Maria Rosaria S.p.A.</v>
          </cell>
        </row>
        <row r="71">
          <cell r="B71" t="str">
            <v>Casa di Cura Santa Lucia s.r.l. </v>
          </cell>
        </row>
        <row r="72">
          <cell r="B72" t="str">
            <v>Casa di Cura Andrea Grimaldi s.r.l.</v>
          </cell>
        </row>
        <row r="73">
          <cell r="B73" t="str">
            <v>Casa di Cura Villa Delle Margherite s.n.c. </v>
          </cell>
        </row>
        <row r="74">
          <cell r="B74" t="str">
            <v>Casa di Cura Meluccio s.r.l.</v>
          </cell>
        </row>
        <row r="75">
          <cell r="B75" t="str">
            <v>Casa di Cura Clinica S.Felice s.r.l.</v>
          </cell>
        </row>
        <row r="76">
          <cell r="B76" t="str">
            <v>Casa di Cura S.Maria Del Pozzo C.E.M. S.p.A.</v>
          </cell>
        </row>
        <row r="77">
          <cell r="B77" t="str">
            <v>TOTALE</v>
          </cell>
        </row>
        <row r="80">
          <cell r="B80" t="str">
            <v>Casa di Cura Villa DEL SOLE</v>
          </cell>
        </row>
        <row r="81">
          <cell r="B81" t="str">
            <v>Casa di Cura  Malzoni di Agropoli S.p.A.</v>
          </cell>
        </row>
        <row r="82">
          <cell r="B82" t="str">
            <v>Casa di Cura La Quiete s.r.l.</v>
          </cell>
        </row>
        <row r="83">
          <cell r="B83" t="str">
            <v>Casa di Cura Venosa s.r.l.</v>
          </cell>
        </row>
        <row r="84">
          <cell r="B84" t="str">
            <v>Casa di Cura Salus Battipaglia</v>
          </cell>
        </row>
        <row r="85">
          <cell r="B85" t="str">
            <v>Campolongo Hospital S.p.A. C.E.M.F.R. Eboli</v>
          </cell>
        </row>
        <row r="86">
          <cell r="B86" t="str">
            <v>Clinica Cobellis</v>
          </cell>
        </row>
        <row r="87">
          <cell r="B87" t="str">
            <v>Casa di Cura  Tortorella</v>
          </cell>
        </row>
        <row r="88">
          <cell r="B88" t="str">
            <v>Casa di Cura Villa Chiarugi s.r.l.</v>
          </cell>
        </row>
        <row r="89">
          <cell r="B89" t="str">
            <v>Villa SILBA (da verificare)</v>
          </cell>
        </row>
        <row r="90">
          <cell r="B90" t="str">
            <v>TOTALE</v>
          </cell>
        </row>
        <row r="92">
          <cell r="B92" t="str">
            <v>TOTALE per ASL </v>
          </cell>
        </row>
        <row r="93">
          <cell r="B93" t="str">
            <v>AVELLINO</v>
          </cell>
        </row>
        <row r="94">
          <cell r="B94" t="str">
            <v>BENEVENTO </v>
          </cell>
        </row>
        <row r="95">
          <cell r="B95" t="str">
            <v>CASERTA </v>
          </cell>
        </row>
        <row r="96">
          <cell r="B96" t="str">
            <v>NAPOLI 1 CENTRO</v>
          </cell>
        </row>
        <row r="97">
          <cell r="B97" t="str">
            <v>NAPOLI 2 NORD</v>
          </cell>
        </row>
        <row r="98">
          <cell r="B98" t="str">
            <v>NAPOLI 3 SUD</v>
          </cell>
        </row>
        <row r="99">
          <cell r="B99" t="str">
            <v>SALERNO</v>
          </cell>
        </row>
        <row r="100">
          <cell r="B100" t="str">
            <v>TOTALE GENERALE</v>
          </cell>
        </row>
        <row r="104">
          <cell r="B104" t="str">
            <v>*se il tetto 2011 dopo gli incrementi per:</v>
          </cell>
        </row>
        <row r="105">
          <cell r="B105" t="str">
            <v>a) passaggio fascia</v>
          </cell>
        </row>
        <row r="106">
          <cell r="B106" t="str">
            <v>b) rivalutazione DRG di alta specialità</v>
          </cell>
        </row>
        <row r="107">
          <cell r="B107" t="str">
            <v>c) contributo per posti letto di terapia intensiva</v>
          </cell>
        </row>
        <row r="108">
          <cell r="B108" t="str">
            <v>d) rivalutazione per posti letto di riabilitazione</v>
          </cell>
        </row>
        <row r="109">
          <cell r="B109" t="str">
            <v>e) rivalutazione per chiusure per lavori</v>
          </cell>
        </row>
        <row r="110">
          <cell r="B110" t="str">
            <v>risulta ancora inefriore all'80% del fatturato al netto dei controlli 2010 si dà il tetto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97"/>
  <sheetViews>
    <sheetView tabSelected="1" zoomScale="75" zoomScaleNormal="75" workbookViewId="0" topLeftCell="C1">
      <selection activeCell="K4" sqref="K4"/>
    </sheetView>
  </sheetViews>
  <sheetFormatPr defaultColWidth="9.140625" defaultRowHeight="12.75"/>
  <cols>
    <col min="1" max="1" width="8.28125" style="85" customWidth="1"/>
    <col min="2" max="2" width="44.57421875" style="78" customWidth="1"/>
    <col min="3" max="3" width="9.140625" style="78" customWidth="1"/>
    <col min="4" max="4" width="13.8515625" style="78" customWidth="1"/>
    <col min="5" max="5" width="14.421875" style="78" customWidth="1"/>
    <col min="6" max="6" width="13.421875" style="84" customWidth="1"/>
    <col min="7" max="7" width="14.421875" style="78" customWidth="1"/>
    <col min="8" max="8" width="11.57421875" style="55" customWidth="1"/>
    <col min="9" max="9" width="12.140625" style="78" customWidth="1"/>
    <col min="10" max="10" width="11.7109375" style="78" customWidth="1"/>
    <col min="11" max="11" width="12.28125" style="78" customWidth="1"/>
    <col min="12" max="12" width="14.140625" style="78" customWidth="1"/>
    <col min="13" max="13" width="12.00390625" style="78" customWidth="1"/>
    <col min="14" max="14" width="12.28125" style="78" customWidth="1"/>
    <col min="15" max="15" width="15.140625" style="78" customWidth="1"/>
    <col min="16" max="16" width="10.421875" style="78" customWidth="1"/>
    <col min="17" max="17" width="12.00390625" style="78" customWidth="1"/>
    <col min="18" max="224" width="11.57421875" style="35" customWidth="1"/>
    <col min="225" max="16384" width="11.57421875" style="24" customWidth="1"/>
  </cols>
  <sheetData>
    <row r="1" spans="1:229" s="5" customFormat="1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HQ1" s="6"/>
      <c r="HR1" s="6"/>
      <c r="HS1" s="6"/>
      <c r="HT1" s="6"/>
      <c r="HU1" s="6"/>
    </row>
    <row r="2" spans="1:229" s="1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9" t="s">
        <v>16</v>
      </c>
      <c r="Q2" s="10"/>
      <c r="HQ2" s="12"/>
      <c r="HR2" s="12"/>
      <c r="HS2" s="12"/>
      <c r="HT2" s="12"/>
      <c r="HU2" s="12"/>
    </row>
    <row r="3" spans="1:229" s="18" customFormat="1" ht="141" customHeight="1">
      <c r="A3" s="13" t="s">
        <v>17</v>
      </c>
      <c r="B3" s="14" t="s">
        <v>18</v>
      </c>
      <c r="C3" s="15" t="s">
        <v>19</v>
      </c>
      <c r="D3" s="15" t="s">
        <v>111</v>
      </c>
      <c r="E3" s="15" t="s">
        <v>20</v>
      </c>
      <c r="F3" s="15" t="s">
        <v>21</v>
      </c>
      <c r="G3" s="15" t="s">
        <v>22</v>
      </c>
      <c r="H3" s="15" t="s">
        <v>23</v>
      </c>
      <c r="I3" s="15" t="s">
        <v>24</v>
      </c>
      <c r="J3" s="15" t="s">
        <v>25</v>
      </c>
      <c r="K3" s="15" t="s">
        <v>26</v>
      </c>
      <c r="L3" s="16" t="s">
        <v>27</v>
      </c>
      <c r="M3" s="15" t="s">
        <v>28</v>
      </c>
      <c r="N3" s="15" t="s">
        <v>29</v>
      </c>
      <c r="O3" s="15" t="s">
        <v>30</v>
      </c>
      <c r="P3" s="17" t="s">
        <v>31</v>
      </c>
      <c r="Q3" s="16"/>
      <c r="HQ3" s="19"/>
      <c r="HR3" s="19"/>
      <c r="HS3" s="19"/>
      <c r="HT3" s="19"/>
      <c r="HU3" s="19"/>
    </row>
    <row r="4" spans="1:229" s="23" customFormat="1" ht="15.75">
      <c r="A4" s="20" t="s">
        <v>32</v>
      </c>
      <c r="B4" s="21"/>
      <c r="C4" s="21" t="s">
        <v>33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1"/>
      <c r="HQ4" s="24"/>
      <c r="HR4" s="24"/>
      <c r="HS4" s="24"/>
      <c r="HT4" s="24"/>
      <c r="HU4" s="24"/>
    </row>
    <row r="5" spans="1:17" ht="12.75">
      <c r="A5" s="25">
        <v>150143</v>
      </c>
      <c r="B5" s="26" t="s">
        <v>34</v>
      </c>
      <c r="C5" s="27" t="s">
        <v>35</v>
      </c>
      <c r="D5" s="28">
        <v>8507710.730000002</v>
      </c>
      <c r="E5" s="28">
        <v>7800000</v>
      </c>
      <c r="F5" s="29">
        <v>7644000</v>
      </c>
      <c r="G5" s="30">
        <f>ROUND((D5-E5)*15/100,0)</f>
        <v>106157</v>
      </c>
      <c r="H5" s="30"/>
      <c r="I5" s="30"/>
      <c r="J5" s="30"/>
      <c r="K5" s="31"/>
      <c r="L5" s="30">
        <f aca="true" t="shared" si="0" ref="L5:L11">F5+G5+H5+I5+J5+K5</f>
        <v>7750157</v>
      </c>
      <c r="M5" s="32">
        <f aca="true" t="shared" si="1" ref="M5:M11">+L5/D5</f>
        <v>0.9109568068259883</v>
      </c>
      <c r="N5" s="31"/>
      <c r="O5" s="30">
        <f aca="true" t="shared" si="2" ref="O5:O11">L5+N5</f>
        <v>7750157</v>
      </c>
      <c r="P5" s="33">
        <f aca="true" t="shared" si="3" ref="P5:P11">+O5/D5</f>
        <v>0.9109568068259883</v>
      </c>
      <c r="Q5" s="34"/>
    </row>
    <row r="6" spans="1:17" ht="12.75">
      <c r="A6" s="25">
        <v>150144</v>
      </c>
      <c r="B6" s="26" t="s">
        <v>36</v>
      </c>
      <c r="C6" s="27"/>
      <c r="D6" s="28">
        <v>1979247.63</v>
      </c>
      <c r="E6" s="28">
        <v>1550000</v>
      </c>
      <c r="F6" s="29">
        <v>1519000</v>
      </c>
      <c r="G6" s="30"/>
      <c r="H6" s="30"/>
      <c r="I6" s="30"/>
      <c r="J6" s="30"/>
      <c r="K6" s="31">
        <f>ROUND((F6*0.01)-SUM(G6:J6),-3)</f>
        <v>15000</v>
      </c>
      <c r="L6" s="30">
        <f t="shared" si="0"/>
        <v>1534000</v>
      </c>
      <c r="M6" s="36">
        <f t="shared" si="1"/>
        <v>0.7750419789564179</v>
      </c>
      <c r="N6" s="37">
        <f>ROUND((D6*80/100)-L6,-3)</f>
        <v>49000</v>
      </c>
      <c r="O6" s="30">
        <f t="shared" si="2"/>
        <v>1583000</v>
      </c>
      <c r="P6" s="33">
        <f t="shared" si="3"/>
        <v>0.7997988609439437</v>
      </c>
      <c r="Q6" s="34"/>
    </row>
    <row r="7" spans="1:17" ht="12.75">
      <c r="A7" s="25">
        <v>150145</v>
      </c>
      <c r="B7" s="26" t="s">
        <v>37</v>
      </c>
      <c r="C7" s="38"/>
      <c r="D7" s="28">
        <v>9821567.120000001</v>
      </c>
      <c r="E7" s="28">
        <v>9080000</v>
      </c>
      <c r="F7" s="29">
        <v>8898000</v>
      </c>
      <c r="G7" s="30"/>
      <c r="H7" s="30"/>
      <c r="I7" s="30"/>
      <c r="J7" s="30"/>
      <c r="K7" s="31">
        <f>ROUND((F7*0.01)-SUM(G7:J7),-3)</f>
        <v>89000</v>
      </c>
      <c r="L7" s="30">
        <f t="shared" si="0"/>
        <v>8987000</v>
      </c>
      <c r="M7" s="32">
        <f t="shared" si="1"/>
        <v>0.9150270919290932</v>
      </c>
      <c r="N7" s="31"/>
      <c r="O7" s="30">
        <f t="shared" si="2"/>
        <v>8987000</v>
      </c>
      <c r="P7" s="33">
        <f t="shared" si="3"/>
        <v>0.9150270919290932</v>
      </c>
      <c r="Q7" s="34"/>
    </row>
    <row r="8" spans="1:17" ht="12.75">
      <c r="A8" s="25">
        <v>150146</v>
      </c>
      <c r="B8" s="26" t="s">
        <v>38</v>
      </c>
      <c r="C8" s="38"/>
      <c r="D8" s="28">
        <v>6424009.98</v>
      </c>
      <c r="E8" s="28">
        <v>6700000</v>
      </c>
      <c r="F8" s="29">
        <v>6566000</v>
      </c>
      <c r="G8" s="30"/>
      <c r="H8" s="30"/>
      <c r="I8" s="30"/>
      <c r="J8" s="30"/>
      <c r="K8" s="31">
        <f>ROUND((F8*0.01)-SUM(G8:J8),-3)</f>
        <v>66000</v>
      </c>
      <c r="L8" s="30">
        <f t="shared" si="0"/>
        <v>6632000</v>
      </c>
      <c r="M8" s="32">
        <f t="shared" si="1"/>
        <v>1.0323769764753696</v>
      </c>
      <c r="N8" s="31"/>
      <c r="O8" s="30">
        <f t="shared" si="2"/>
        <v>6632000</v>
      </c>
      <c r="P8" s="33">
        <f t="shared" si="3"/>
        <v>1.0323769764753696</v>
      </c>
      <c r="Q8" s="34"/>
    </row>
    <row r="9" spans="1:17" ht="12.75">
      <c r="A9" s="25">
        <v>150147</v>
      </c>
      <c r="B9" s="26" t="s">
        <v>39</v>
      </c>
      <c r="C9" s="38"/>
      <c r="D9" s="28">
        <v>6425654.26</v>
      </c>
      <c r="E9" s="28">
        <v>7415000</v>
      </c>
      <c r="F9" s="29">
        <v>7267000</v>
      </c>
      <c r="G9" s="30"/>
      <c r="H9" s="30"/>
      <c r="I9" s="30"/>
      <c r="J9" s="30"/>
      <c r="K9" s="31">
        <f>ROUND((F9*0.01)-SUM(G9:J9),-3)</f>
        <v>73000</v>
      </c>
      <c r="L9" s="30">
        <f t="shared" si="0"/>
        <v>7340000</v>
      </c>
      <c r="M9" s="32">
        <f t="shared" si="1"/>
        <v>1.1422961309468276</v>
      </c>
      <c r="N9" s="31"/>
      <c r="O9" s="30">
        <f t="shared" si="2"/>
        <v>7340000</v>
      </c>
      <c r="P9" s="33">
        <f t="shared" si="3"/>
        <v>1.1422961309468276</v>
      </c>
      <c r="Q9" s="34"/>
    </row>
    <row r="10" spans="1:17" ht="12.75">
      <c r="A10" s="25">
        <v>150148</v>
      </c>
      <c r="B10" s="26" t="s">
        <v>40</v>
      </c>
      <c r="C10" s="38"/>
      <c r="D10" s="28">
        <v>41355684.34</v>
      </c>
      <c r="E10" s="28">
        <v>40938000</v>
      </c>
      <c r="F10" s="29">
        <v>40119000</v>
      </c>
      <c r="G10" s="30"/>
      <c r="H10" s="39">
        <f>ROUND('[1]calcoli ARSan alta specialità'!F2,0)</f>
        <v>652043</v>
      </c>
      <c r="I10" s="30">
        <f>'[1]calcoli terapie intensive'!G9</f>
        <v>390000</v>
      </c>
      <c r="J10" s="30"/>
      <c r="K10" s="31"/>
      <c r="L10" s="30">
        <f t="shared" si="0"/>
        <v>41161043</v>
      </c>
      <c r="M10" s="32">
        <f t="shared" si="1"/>
        <v>0.9952934803738275</v>
      </c>
      <c r="N10" s="31"/>
      <c r="O10" s="30">
        <f t="shared" si="2"/>
        <v>41161043</v>
      </c>
      <c r="P10" s="33">
        <f t="shared" si="3"/>
        <v>0.9952934803738275</v>
      </c>
      <c r="Q10" s="34"/>
    </row>
    <row r="11" spans="1:17" ht="25.5">
      <c r="A11" s="25">
        <v>150149</v>
      </c>
      <c r="B11" s="26" t="s">
        <v>41</v>
      </c>
      <c r="C11" s="38"/>
      <c r="D11" s="28">
        <v>24278411.59</v>
      </c>
      <c r="E11" s="28">
        <v>26190000</v>
      </c>
      <c r="F11" s="29">
        <v>24223000</v>
      </c>
      <c r="G11" s="30"/>
      <c r="H11" s="39">
        <f>ROUND('[1]calcoli ARSan alta specialità'!F3,0)</f>
        <v>116492</v>
      </c>
      <c r="I11" s="30">
        <f>'[1]calcoli terapie intensive'!G10</f>
        <v>330000</v>
      </c>
      <c r="J11" s="30"/>
      <c r="K11" s="31"/>
      <c r="L11" s="30">
        <f t="shared" si="0"/>
        <v>24669492</v>
      </c>
      <c r="M11" s="32">
        <f t="shared" si="1"/>
        <v>1.0161081547098032</v>
      </c>
      <c r="N11" s="31"/>
      <c r="O11" s="30">
        <f t="shared" si="2"/>
        <v>24669492</v>
      </c>
      <c r="P11" s="33">
        <f t="shared" si="3"/>
        <v>1.0161081547098032</v>
      </c>
      <c r="Q11" s="34"/>
    </row>
    <row r="12" spans="1:229" s="23" customFormat="1" ht="15.75">
      <c r="A12" s="20" t="s">
        <v>42</v>
      </c>
      <c r="B12" s="40"/>
      <c r="C12" s="41" t="s">
        <v>33</v>
      </c>
      <c r="D12" s="21"/>
      <c r="E12" s="21"/>
      <c r="F12" s="21"/>
      <c r="G12" s="21"/>
      <c r="H12" s="21"/>
      <c r="I12" s="21"/>
      <c r="J12" s="21" t="s">
        <v>33</v>
      </c>
      <c r="K12" s="21"/>
      <c r="L12" s="30" t="s">
        <v>33</v>
      </c>
      <c r="M12" s="42"/>
      <c r="N12" s="21"/>
      <c r="O12" s="21"/>
      <c r="P12" s="33" t="s">
        <v>33</v>
      </c>
      <c r="Q12" s="34"/>
      <c r="HQ12" s="24"/>
      <c r="HR12" s="24"/>
      <c r="HS12" s="24"/>
      <c r="HT12" s="24"/>
      <c r="HU12" s="24"/>
    </row>
    <row r="13" spans="1:17" ht="12.75">
      <c r="A13" s="25">
        <v>150033</v>
      </c>
      <c r="B13" s="26" t="s">
        <v>43</v>
      </c>
      <c r="C13" s="27" t="s">
        <v>35</v>
      </c>
      <c r="D13" s="28">
        <v>10668745.56</v>
      </c>
      <c r="E13" s="28">
        <v>10300000</v>
      </c>
      <c r="F13" s="29">
        <v>10094000</v>
      </c>
      <c r="G13" s="30">
        <f>ROUND((D13-E13)*15/100,0)</f>
        <v>55312</v>
      </c>
      <c r="H13" s="30"/>
      <c r="I13" s="30"/>
      <c r="J13" s="30"/>
      <c r="K13" s="31">
        <f>ROUND((F13*0.01)-SUM(G13:J13),-3)</f>
        <v>46000</v>
      </c>
      <c r="L13" s="30">
        <f>F13+G13+H13+I13+J13+K13</f>
        <v>10195312</v>
      </c>
      <c r="M13" s="32">
        <f>+L13/D13</f>
        <v>0.9556242524167948</v>
      </c>
      <c r="N13" s="31"/>
      <c r="O13" s="30">
        <f>L13+N13</f>
        <v>10195312</v>
      </c>
      <c r="P13" s="33">
        <f>+O13/D13</f>
        <v>0.9556242524167948</v>
      </c>
      <c r="Q13" s="34"/>
    </row>
    <row r="14" spans="1:17" ht="12.75">
      <c r="A14" s="25">
        <v>150034</v>
      </c>
      <c r="B14" s="26" t="s">
        <v>44</v>
      </c>
      <c r="C14" s="43"/>
      <c r="D14" s="28">
        <v>8472895.4281</v>
      </c>
      <c r="E14" s="28">
        <v>8500000</v>
      </c>
      <c r="F14" s="29">
        <v>8330000</v>
      </c>
      <c r="G14" s="30"/>
      <c r="H14" s="30"/>
      <c r="I14" s="30"/>
      <c r="J14" s="30"/>
      <c r="K14" s="31">
        <f>ROUND((F14*0.01)-SUM(G14:J14),-3)</f>
        <v>83000</v>
      </c>
      <c r="L14" s="30">
        <f>F14+G14+H14+I14+J14+K14</f>
        <v>8413000</v>
      </c>
      <c r="M14" s="32">
        <f>+L14/D14</f>
        <v>0.9929309374099722</v>
      </c>
      <c r="N14" s="31"/>
      <c r="O14" s="30">
        <f>L14+N14</f>
        <v>8413000</v>
      </c>
      <c r="P14" s="33">
        <f>+O14/D14</f>
        <v>0.9929309374099722</v>
      </c>
      <c r="Q14" s="34"/>
    </row>
    <row r="15" spans="1:17" ht="12.75" customHeight="1">
      <c r="A15" s="25">
        <v>150035</v>
      </c>
      <c r="B15" s="44" t="s">
        <v>45</v>
      </c>
      <c r="C15" s="27" t="s">
        <v>46</v>
      </c>
      <c r="D15" s="28">
        <v>9949559.4853</v>
      </c>
      <c r="E15" s="28">
        <v>9600000</v>
      </c>
      <c r="F15" s="29">
        <v>9408000</v>
      </c>
      <c r="G15" s="30">
        <f>ROUND((D15-E15)*15/100,0)</f>
        <v>52434</v>
      </c>
      <c r="H15" s="45"/>
      <c r="I15" s="30"/>
      <c r="J15" s="45"/>
      <c r="K15" s="31">
        <f>ROUND((F15*0.01)-SUM(G15:J15),-3)</f>
        <v>42000</v>
      </c>
      <c r="L15" s="30">
        <f>F15+G15+H15+I15+J15+K15</f>
        <v>9502434</v>
      </c>
      <c r="M15" s="32">
        <f>+L15/D15</f>
        <v>0.9550607757096575</v>
      </c>
      <c r="N15" s="31"/>
      <c r="O15" s="30">
        <f>L15+N15</f>
        <v>9502434</v>
      </c>
      <c r="P15" s="33">
        <f>+O15/D15</f>
        <v>0.9550607757096575</v>
      </c>
      <c r="Q15" s="34"/>
    </row>
    <row r="16" spans="1:17" ht="12.75" customHeight="1">
      <c r="A16" s="25">
        <v>150350</v>
      </c>
      <c r="B16" s="26" t="s">
        <v>47</v>
      </c>
      <c r="C16" s="43"/>
      <c r="D16" s="28">
        <v>1876179.789</v>
      </c>
      <c r="E16" s="28">
        <v>1970000</v>
      </c>
      <c r="F16" s="29">
        <v>1837000</v>
      </c>
      <c r="G16" s="30"/>
      <c r="H16" s="30"/>
      <c r="I16" s="30"/>
      <c r="J16" s="30">
        <f>(E16-F16)</f>
        <v>133000</v>
      </c>
      <c r="K16" s="31"/>
      <c r="L16" s="30">
        <f>F16+G16+H16+I16+J16+K16</f>
        <v>1970000</v>
      </c>
      <c r="M16" s="32">
        <f>+L16/D16</f>
        <v>1.0500059810632572</v>
      </c>
      <c r="N16" s="31"/>
      <c r="O16" s="30">
        <f>L16+N16</f>
        <v>1970000</v>
      </c>
      <c r="P16" s="33">
        <f>+O16/D16</f>
        <v>1.0500059810632572</v>
      </c>
      <c r="Q16" s="34"/>
    </row>
    <row r="17" spans="1:17" ht="12.75">
      <c r="A17" s="25">
        <v>150371</v>
      </c>
      <c r="B17" s="26" t="s">
        <v>48</v>
      </c>
      <c r="C17" s="43"/>
      <c r="D17" s="28">
        <v>9235050</v>
      </c>
      <c r="E17" s="28">
        <v>8700000</v>
      </c>
      <c r="F17" s="29">
        <v>8526000</v>
      </c>
      <c r="G17" s="30"/>
      <c r="H17" s="30"/>
      <c r="I17" s="30"/>
      <c r="J17" s="30">
        <f>(E17-F17)</f>
        <v>174000</v>
      </c>
      <c r="K17" s="31"/>
      <c r="L17" s="30">
        <f>F17+G17+H17+I17+J17+K17</f>
        <v>8700000</v>
      </c>
      <c r="M17" s="32">
        <f>+L17/D17</f>
        <v>0.9420631182289213</v>
      </c>
      <c r="N17" s="31"/>
      <c r="O17" s="30">
        <f>L17+N17</f>
        <v>8700000</v>
      </c>
      <c r="P17" s="33">
        <f>+O17/D17</f>
        <v>0.9420631182289213</v>
      </c>
      <c r="Q17" s="34"/>
    </row>
    <row r="18" spans="1:229" s="23" customFormat="1" ht="15.75">
      <c r="A18" s="20" t="s">
        <v>49</v>
      </c>
      <c r="B18" s="40"/>
      <c r="C18" s="41" t="s">
        <v>33</v>
      </c>
      <c r="D18" s="21"/>
      <c r="E18" s="21"/>
      <c r="F18" s="21"/>
      <c r="G18" s="21"/>
      <c r="H18" s="21"/>
      <c r="I18" s="21"/>
      <c r="J18" s="21" t="s">
        <v>33</v>
      </c>
      <c r="K18" s="21"/>
      <c r="L18" s="30" t="s">
        <v>33</v>
      </c>
      <c r="M18" s="42"/>
      <c r="N18" s="21"/>
      <c r="O18" s="21"/>
      <c r="P18" s="33" t="s">
        <v>33</v>
      </c>
      <c r="Q18" s="34"/>
      <c r="HQ18" s="24"/>
      <c r="HR18" s="24"/>
      <c r="HS18" s="24"/>
      <c r="HT18" s="24"/>
      <c r="HU18" s="24"/>
    </row>
    <row r="19" spans="1:17" ht="12.75">
      <c r="A19" s="25">
        <v>150014</v>
      </c>
      <c r="B19" s="26" t="s">
        <v>50</v>
      </c>
      <c r="C19" s="27" t="s">
        <v>46</v>
      </c>
      <c r="D19" s="28">
        <v>5059004.78</v>
      </c>
      <c r="E19" s="28">
        <v>4000000</v>
      </c>
      <c r="F19" s="29">
        <v>3920000</v>
      </c>
      <c r="G19" s="30">
        <f>ROUND((D19-E19)*15/100,0)</f>
        <v>158851</v>
      </c>
      <c r="H19" s="30"/>
      <c r="I19" s="30"/>
      <c r="J19" s="30"/>
      <c r="K19" s="31"/>
      <c r="L19" s="30">
        <f aca="true" t="shared" si="4" ref="L19:L30">F19+G19+H19+I19+J19+K19</f>
        <v>4078851</v>
      </c>
      <c r="M19" s="36">
        <f aca="true" t="shared" si="5" ref="M19:M26">+L19/D19</f>
        <v>0.8062556129863945</v>
      </c>
      <c r="N19" s="37"/>
      <c r="O19" s="30">
        <f aca="true" t="shared" si="6" ref="O19:O30">L19+N19</f>
        <v>4078851</v>
      </c>
      <c r="P19" s="33">
        <f aca="true" t="shared" si="7" ref="P19:P26">+O19/D19</f>
        <v>0.8062556129863945</v>
      </c>
      <c r="Q19" s="34"/>
    </row>
    <row r="20" spans="1:17" ht="12.75">
      <c r="A20" s="25">
        <v>150016</v>
      </c>
      <c r="B20" s="26" t="s">
        <v>51</v>
      </c>
      <c r="C20" s="43"/>
      <c r="D20" s="28">
        <v>11689290.84</v>
      </c>
      <c r="E20" s="28">
        <v>12200000</v>
      </c>
      <c r="F20" s="29">
        <v>11956000</v>
      </c>
      <c r="G20" s="30"/>
      <c r="H20" s="30"/>
      <c r="I20" s="30"/>
      <c r="J20" s="30"/>
      <c r="K20" s="31">
        <f>ROUND((F20*0.01)-SUM(G20:J20),-3)</f>
        <v>120000</v>
      </c>
      <c r="L20" s="30">
        <f t="shared" si="4"/>
        <v>12076000</v>
      </c>
      <c r="M20" s="32">
        <f t="shared" si="5"/>
        <v>1.0330823456523732</v>
      </c>
      <c r="N20" s="31"/>
      <c r="O20" s="30">
        <f t="shared" si="6"/>
        <v>12076000</v>
      </c>
      <c r="P20" s="33">
        <f t="shared" si="7"/>
        <v>1.0330823456523732</v>
      </c>
      <c r="Q20" s="34"/>
    </row>
    <row r="21" spans="1:17" ht="12.75">
      <c r="A21" s="25">
        <v>150017</v>
      </c>
      <c r="B21" s="26" t="s">
        <v>52</v>
      </c>
      <c r="C21" s="27"/>
      <c r="D21" s="28">
        <v>1156192.1</v>
      </c>
      <c r="E21" s="28">
        <v>1300000</v>
      </c>
      <c r="F21" s="29">
        <v>3000000</v>
      </c>
      <c r="G21" s="30"/>
      <c r="H21" s="30"/>
      <c r="I21" s="30"/>
      <c r="J21" s="30"/>
      <c r="K21" s="31">
        <f>ROUND((F21*0.01)-SUM(G21:J21),-3)</f>
        <v>30000</v>
      </c>
      <c r="L21" s="30">
        <f t="shared" si="4"/>
        <v>3030000</v>
      </c>
      <c r="M21" s="32">
        <f t="shared" si="5"/>
        <v>2.62067177245027</v>
      </c>
      <c r="N21" s="31"/>
      <c r="O21" s="30">
        <f t="shared" si="6"/>
        <v>3030000</v>
      </c>
      <c r="P21" s="33">
        <f t="shared" si="7"/>
        <v>2.62067177245027</v>
      </c>
      <c r="Q21" s="34"/>
    </row>
    <row r="22" spans="1:17" ht="12.75">
      <c r="A22" s="25">
        <v>150018</v>
      </c>
      <c r="B22" s="26" t="s">
        <v>53</v>
      </c>
      <c r="C22" s="27" t="s">
        <v>46</v>
      </c>
      <c r="D22" s="28">
        <v>4353880.01</v>
      </c>
      <c r="E22" s="28">
        <v>3850000</v>
      </c>
      <c r="F22" s="29">
        <v>3773000</v>
      </c>
      <c r="G22" s="30">
        <f>ROUND((D22-E22)*15/100,0)</f>
        <v>75582</v>
      </c>
      <c r="H22" s="30"/>
      <c r="I22" s="30"/>
      <c r="J22" s="30"/>
      <c r="K22" s="31"/>
      <c r="L22" s="30">
        <f t="shared" si="4"/>
        <v>3848582</v>
      </c>
      <c r="M22" s="32">
        <f t="shared" si="5"/>
        <v>0.8839430556562353</v>
      </c>
      <c r="N22" s="31"/>
      <c r="O22" s="30">
        <f t="shared" si="6"/>
        <v>3848582</v>
      </c>
      <c r="P22" s="33">
        <f t="shared" si="7"/>
        <v>0.8839430556562353</v>
      </c>
      <c r="Q22" s="34"/>
    </row>
    <row r="23" spans="1:17" ht="12.75">
      <c r="A23" s="25">
        <v>150019</v>
      </c>
      <c r="B23" s="26" t="s">
        <v>112</v>
      </c>
      <c r="C23" s="27" t="s">
        <v>54</v>
      </c>
      <c r="D23" s="28">
        <v>10577710.65</v>
      </c>
      <c r="E23" s="28">
        <v>10200000</v>
      </c>
      <c r="F23" s="29">
        <v>9996000</v>
      </c>
      <c r="G23" s="30">
        <f>ROUND((D23-E23)*15/100,0)</f>
        <v>56657</v>
      </c>
      <c r="H23" s="30"/>
      <c r="I23" s="30"/>
      <c r="J23" s="30"/>
      <c r="K23" s="31">
        <f>ROUND((F23*0.01)-SUM(G23:J23),-3)</f>
        <v>43000</v>
      </c>
      <c r="L23" s="30">
        <f t="shared" si="4"/>
        <v>10095657</v>
      </c>
      <c r="M23" s="32">
        <f t="shared" si="5"/>
        <v>0.9544274119466484</v>
      </c>
      <c r="N23" s="31"/>
      <c r="O23" s="30">
        <f t="shared" si="6"/>
        <v>10095657</v>
      </c>
      <c r="P23" s="33">
        <f t="shared" si="7"/>
        <v>0.9544274119466484</v>
      </c>
      <c r="Q23" s="34"/>
    </row>
    <row r="24" spans="1:17" ht="12.75">
      <c r="A24" s="25">
        <v>150020</v>
      </c>
      <c r="B24" s="26" t="s">
        <v>55</v>
      </c>
      <c r="C24" s="43"/>
      <c r="D24" s="28">
        <v>27052974.010000005</v>
      </c>
      <c r="E24" s="28">
        <v>25000000</v>
      </c>
      <c r="F24" s="29">
        <v>24500000</v>
      </c>
      <c r="G24" s="30"/>
      <c r="H24" s="39">
        <f>ROUND('[1]calcoli ARSan alta specialità'!F4,0)</f>
        <v>339703</v>
      </c>
      <c r="I24" s="30">
        <f>'[1]calcoli terapie intensive'!G25</f>
        <v>630000</v>
      </c>
      <c r="J24" s="30"/>
      <c r="K24" s="31"/>
      <c r="L24" s="30">
        <f t="shared" si="4"/>
        <v>25469703</v>
      </c>
      <c r="M24" s="32">
        <f t="shared" si="5"/>
        <v>0.9414751587232236</v>
      </c>
      <c r="N24" s="31"/>
      <c r="O24" s="30">
        <f t="shared" si="6"/>
        <v>25469703</v>
      </c>
      <c r="P24" s="33">
        <f t="shared" si="7"/>
        <v>0.9414751587232236</v>
      </c>
      <c r="Q24" s="34"/>
    </row>
    <row r="25" spans="1:17" ht="12.75">
      <c r="A25" s="25">
        <v>150022</v>
      </c>
      <c r="B25" s="26" t="s">
        <v>56</v>
      </c>
      <c r="C25" s="27" t="s">
        <v>46</v>
      </c>
      <c r="D25" s="28">
        <v>5572263.43</v>
      </c>
      <c r="E25" s="28">
        <v>4100000</v>
      </c>
      <c r="F25" s="29">
        <v>4018000</v>
      </c>
      <c r="G25" s="30">
        <f>ROUND((D25-E25)*15/100,0)</f>
        <v>220840</v>
      </c>
      <c r="H25" s="30"/>
      <c r="I25" s="30"/>
      <c r="J25" s="30"/>
      <c r="K25" s="31"/>
      <c r="L25" s="30">
        <f t="shared" si="4"/>
        <v>4238840</v>
      </c>
      <c r="M25" s="36">
        <f t="shared" si="5"/>
        <v>0.7607034472166009</v>
      </c>
      <c r="N25" s="37">
        <f>ROUND((D25*80/100)-L25,-3)</f>
        <v>219000</v>
      </c>
      <c r="O25" s="30">
        <f t="shared" si="6"/>
        <v>4457840</v>
      </c>
      <c r="P25" s="33">
        <f t="shared" si="7"/>
        <v>0.800005250290186</v>
      </c>
      <c r="Q25" s="34"/>
    </row>
    <row r="26" spans="1:17" ht="12.75">
      <c r="A26" s="25">
        <v>150023</v>
      </c>
      <c r="B26" s="26" t="s">
        <v>57</v>
      </c>
      <c r="C26" s="27" t="s">
        <v>35</v>
      </c>
      <c r="D26" s="28">
        <v>5014399.23</v>
      </c>
      <c r="E26" s="28">
        <v>3800000</v>
      </c>
      <c r="F26" s="29">
        <v>3724000</v>
      </c>
      <c r="G26" s="30">
        <f>ROUND((D26-E26)*15/100,0)</f>
        <v>182160</v>
      </c>
      <c r="H26" s="30"/>
      <c r="I26" s="30"/>
      <c r="J26" s="30"/>
      <c r="K26" s="31"/>
      <c r="L26" s="30">
        <f t="shared" si="4"/>
        <v>3906160</v>
      </c>
      <c r="M26" s="36">
        <f t="shared" si="5"/>
        <v>0.7789886327020674</v>
      </c>
      <c r="N26" s="37">
        <f>ROUND((D26*80/100)-L26,-3)</f>
        <v>105000</v>
      </c>
      <c r="O26" s="30">
        <f t="shared" si="6"/>
        <v>4011160</v>
      </c>
      <c r="P26" s="33">
        <f t="shared" si="7"/>
        <v>0.7999283295997155</v>
      </c>
      <c r="Q26" s="34"/>
    </row>
    <row r="27" spans="1:17" ht="12.75">
      <c r="A27" s="25">
        <v>150024</v>
      </c>
      <c r="B27" s="26" t="s">
        <v>58</v>
      </c>
      <c r="C27" s="27"/>
      <c r="D27" s="28">
        <v>0</v>
      </c>
      <c r="E27" s="28">
        <v>400000</v>
      </c>
      <c r="F27" s="29">
        <v>2000000</v>
      </c>
      <c r="G27" s="30"/>
      <c r="H27" s="30"/>
      <c r="I27" s="30"/>
      <c r="J27" s="30"/>
      <c r="K27" s="31">
        <f>ROUND((F27*0.01)-SUM(G27:J27),-3)</f>
        <v>20000</v>
      </c>
      <c r="L27" s="30">
        <f t="shared" si="4"/>
        <v>2020000</v>
      </c>
      <c r="M27" s="32" t="s">
        <v>33</v>
      </c>
      <c r="N27" s="31"/>
      <c r="O27" s="30">
        <f t="shared" si="6"/>
        <v>2020000</v>
      </c>
      <c r="P27" s="33" t="s">
        <v>33</v>
      </c>
      <c r="Q27" s="34"/>
    </row>
    <row r="28" spans="1:17" ht="12.75">
      <c r="A28" s="25">
        <v>150025</v>
      </c>
      <c r="B28" s="26" t="s">
        <v>59</v>
      </c>
      <c r="C28" s="27" t="s">
        <v>54</v>
      </c>
      <c r="D28" s="28">
        <v>4638022.36</v>
      </c>
      <c r="E28" s="28">
        <v>3950000</v>
      </c>
      <c r="F28" s="29">
        <v>3871000</v>
      </c>
      <c r="G28" s="30">
        <f>ROUND((D28-E28)*15/100,0)</f>
        <v>103203</v>
      </c>
      <c r="H28" s="30"/>
      <c r="I28" s="30"/>
      <c r="J28" s="30"/>
      <c r="K28" s="31"/>
      <c r="L28" s="30">
        <f t="shared" si="4"/>
        <v>3974203</v>
      </c>
      <c r="M28" s="32">
        <f>+L28/D28</f>
        <v>0.8568744804412715</v>
      </c>
      <c r="N28" s="31"/>
      <c r="O28" s="30">
        <f t="shared" si="6"/>
        <v>3974203</v>
      </c>
      <c r="P28" s="33">
        <f>+O28/D28</f>
        <v>0.8568744804412715</v>
      </c>
      <c r="Q28" s="34"/>
    </row>
    <row r="29" spans="1:17" ht="12.75">
      <c r="A29" s="25">
        <v>150028</v>
      </c>
      <c r="B29" s="26" t="s">
        <v>60</v>
      </c>
      <c r="C29" s="43"/>
      <c r="D29" s="28">
        <v>11682567.57</v>
      </c>
      <c r="E29" s="28">
        <v>11900000</v>
      </c>
      <c r="F29" s="29">
        <v>11488000</v>
      </c>
      <c r="G29" s="30"/>
      <c r="H29" s="30"/>
      <c r="I29" s="30"/>
      <c r="J29" s="46">
        <f>F29*8/100</f>
        <v>919040</v>
      </c>
      <c r="K29" s="31"/>
      <c r="L29" s="30">
        <f t="shared" si="4"/>
        <v>12407040</v>
      </c>
      <c r="M29" s="32">
        <f>+L29/D29</f>
        <v>1.0620131170360523</v>
      </c>
      <c r="N29" s="31"/>
      <c r="O29" s="30">
        <f t="shared" si="6"/>
        <v>12407040</v>
      </c>
      <c r="P29" s="33">
        <f>+O29/D29</f>
        <v>1.0620131170360523</v>
      </c>
      <c r="Q29" s="34"/>
    </row>
    <row r="30" spans="1:17" ht="12.75">
      <c r="A30" s="25">
        <v>150423</v>
      </c>
      <c r="B30" s="26" t="s">
        <v>61</v>
      </c>
      <c r="C30" s="27" t="s">
        <v>35</v>
      </c>
      <c r="D30" s="28">
        <v>8315696.009999998</v>
      </c>
      <c r="E30" s="28">
        <v>8500000</v>
      </c>
      <c r="F30" s="29">
        <v>8330000</v>
      </c>
      <c r="G30" s="30"/>
      <c r="H30" s="30"/>
      <c r="I30" s="30"/>
      <c r="J30" s="30"/>
      <c r="K30" s="31">
        <f>ROUND((F30*0.01)-SUM(G30:J30),-3)</f>
        <v>83000</v>
      </c>
      <c r="L30" s="30">
        <f t="shared" si="4"/>
        <v>8413000</v>
      </c>
      <c r="M30" s="32">
        <f>+L30/D30</f>
        <v>1.0117012442353581</v>
      </c>
      <c r="N30" s="31"/>
      <c r="O30" s="30">
        <f t="shared" si="6"/>
        <v>8413000</v>
      </c>
      <c r="P30" s="33">
        <f>+O30/D30</f>
        <v>1.0117012442353581</v>
      </c>
      <c r="Q30" s="34"/>
    </row>
    <row r="31" spans="1:229" s="23" customFormat="1" ht="15.75">
      <c r="A31" s="20" t="s">
        <v>62</v>
      </c>
      <c r="B31" s="47"/>
      <c r="C31" s="41" t="s">
        <v>33</v>
      </c>
      <c r="D31" s="21"/>
      <c r="E31" s="21"/>
      <c r="F31" s="21"/>
      <c r="G31" s="21"/>
      <c r="H31" s="21"/>
      <c r="I31" s="21"/>
      <c r="J31" s="21" t="s">
        <v>33</v>
      </c>
      <c r="K31" s="21"/>
      <c r="L31" s="30" t="s">
        <v>33</v>
      </c>
      <c r="M31" s="42"/>
      <c r="N31" s="21"/>
      <c r="O31" s="30" t="s">
        <v>33</v>
      </c>
      <c r="P31" s="33" t="s">
        <v>33</v>
      </c>
      <c r="Q31" s="34"/>
      <c r="HQ31" s="24"/>
      <c r="HR31" s="24"/>
      <c r="HS31" s="24"/>
      <c r="HT31" s="24"/>
      <c r="HU31" s="24"/>
    </row>
    <row r="32" spans="1:17" ht="12.75">
      <c r="A32" s="25">
        <v>150075</v>
      </c>
      <c r="B32" s="44" t="s">
        <v>63</v>
      </c>
      <c r="C32" s="27" t="s">
        <v>35</v>
      </c>
      <c r="D32" s="28">
        <v>5609208.854</v>
      </c>
      <c r="E32" s="28">
        <v>4500000</v>
      </c>
      <c r="F32" s="29">
        <v>4410000</v>
      </c>
      <c r="G32" s="30">
        <f>ROUND((D32-E32)*15/100,0)</f>
        <v>166381</v>
      </c>
      <c r="H32" s="30"/>
      <c r="I32" s="30"/>
      <c r="J32" s="30"/>
      <c r="K32" s="31"/>
      <c r="L32" s="30">
        <f aca="true" t="shared" si="8" ref="L32:L47">F32+G32+H32+I32+J32+K32</f>
        <v>4576381</v>
      </c>
      <c r="M32" s="36">
        <f>+L32/D32</f>
        <v>0.8158692462906819</v>
      </c>
      <c r="N32" s="37"/>
      <c r="O32" s="30">
        <f aca="true" t="shared" si="9" ref="O32:O47">L32+N32</f>
        <v>4576381</v>
      </c>
      <c r="P32" s="33">
        <f aca="true" t="shared" si="10" ref="P32:P47">+O32/D32</f>
        <v>0.8158692462906819</v>
      </c>
      <c r="Q32" s="34"/>
    </row>
    <row r="33" spans="1:17" ht="12.75">
      <c r="A33" s="25">
        <v>150076</v>
      </c>
      <c r="B33" s="26" t="s">
        <v>64</v>
      </c>
      <c r="C33" s="43"/>
      <c r="D33" s="28">
        <v>997697.678</v>
      </c>
      <c r="E33" s="28">
        <v>1000000</v>
      </c>
      <c r="F33" s="29">
        <v>0</v>
      </c>
      <c r="G33" s="30"/>
      <c r="H33" s="30"/>
      <c r="I33" s="30"/>
      <c r="J33" s="30"/>
      <c r="K33" s="31">
        <f>ROUND((F33*0.01)-SUM(G33:J33),-3)</f>
        <v>0</v>
      </c>
      <c r="L33" s="30">
        <f t="shared" si="8"/>
        <v>0</v>
      </c>
      <c r="M33" s="32"/>
      <c r="N33" s="31"/>
      <c r="O33" s="30">
        <f t="shared" si="9"/>
        <v>0</v>
      </c>
      <c r="P33" s="33">
        <f t="shared" si="10"/>
        <v>0</v>
      </c>
      <c r="Q33" s="34"/>
    </row>
    <row r="34" spans="1:17" ht="12.75">
      <c r="A34" s="25">
        <v>150078</v>
      </c>
      <c r="B34" s="26" t="s">
        <v>65</v>
      </c>
      <c r="C34" s="43"/>
      <c r="D34" s="28">
        <v>11849247.43</v>
      </c>
      <c r="E34" s="28">
        <v>12400000</v>
      </c>
      <c r="F34" s="29">
        <v>11808000</v>
      </c>
      <c r="G34" s="30"/>
      <c r="H34" s="30"/>
      <c r="I34" s="30"/>
      <c r="J34" s="30"/>
      <c r="K34" s="31">
        <f>ROUND((F34*0.01)-SUM(G34:J34),-3)</f>
        <v>118000</v>
      </c>
      <c r="L34" s="30">
        <f t="shared" si="8"/>
        <v>11926000</v>
      </c>
      <c r="M34" s="32">
        <f>+L34/D34</f>
        <v>1.0064774214947758</v>
      </c>
      <c r="N34" s="31"/>
      <c r="O34" s="30">
        <f t="shared" si="9"/>
        <v>11926000</v>
      </c>
      <c r="P34" s="33">
        <f t="shared" si="10"/>
        <v>1.0064774214947758</v>
      </c>
      <c r="Q34" s="34"/>
    </row>
    <row r="35" spans="1:17" ht="12.75">
      <c r="A35" s="25">
        <v>150079</v>
      </c>
      <c r="B35" s="26" t="s">
        <v>66</v>
      </c>
      <c r="C35" s="43"/>
      <c r="D35" s="28">
        <v>1962311.84</v>
      </c>
      <c r="E35" s="28">
        <v>1950000</v>
      </c>
      <c r="F35" s="29">
        <v>1911000</v>
      </c>
      <c r="G35" s="30"/>
      <c r="H35" s="30"/>
      <c r="I35" s="30"/>
      <c r="J35" s="30"/>
      <c r="K35" s="31">
        <f>ROUND((F35*0.01)-SUM(G35:J35),-3)</f>
        <v>19000</v>
      </c>
      <c r="L35" s="30">
        <f t="shared" si="8"/>
        <v>1930000</v>
      </c>
      <c r="M35" s="32">
        <f>+L35/D35</f>
        <v>0.9835337894103517</v>
      </c>
      <c r="N35" s="31"/>
      <c r="O35" s="30">
        <f t="shared" si="9"/>
        <v>1930000</v>
      </c>
      <c r="P35" s="33">
        <f t="shared" si="10"/>
        <v>0.9835337894103517</v>
      </c>
      <c r="Q35" s="34"/>
    </row>
    <row r="36" spans="1:17" ht="12.75">
      <c r="A36" s="25">
        <v>150081</v>
      </c>
      <c r="B36" s="26" t="s">
        <v>67</v>
      </c>
      <c r="C36" s="43"/>
      <c r="D36" s="28">
        <v>19890740.209999997</v>
      </c>
      <c r="E36" s="28">
        <v>19600000</v>
      </c>
      <c r="F36" s="29">
        <v>19208000</v>
      </c>
      <c r="G36" s="30"/>
      <c r="H36" s="30"/>
      <c r="I36" s="30"/>
      <c r="J36" s="46">
        <f>F36*8/100</f>
        <v>1536640</v>
      </c>
      <c r="K36" s="31"/>
      <c r="L36" s="30">
        <f t="shared" si="8"/>
        <v>20744640</v>
      </c>
      <c r="M36" s="32">
        <f>+L36/D36</f>
        <v>1.0429295129786427</v>
      </c>
      <c r="N36" s="31"/>
      <c r="O36" s="30">
        <f t="shared" si="9"/>
        <v>20744640</v>
      </c>
      <c r="P36" s="33">
        <f t="shared" si="10"/>
        <v>1.0429295129786427</v>
      </c>
      <c r="Q36" s="34"/>
    </row>
    <row r="37" spans="1:17" ht="12.75">
      <c r="A37" s="25">
        <v>150086</v>
      </c>
      <c r="B37" s="44" t="s">
        <v>68</v>
      </c>
      <c r="C37" s="27"/>
      <c r="D37" s="28">
        <v>5969367.100000001</v>
      </c>
      <c r="E37" s="28">
        <v>8000000</v>
      </c>
      <c r="F37" s="29">
        <v>0</v>
      </c>
      <c r="G37" s="30"/>
      <c r="H37" s="30"/>
      <c r="I37" s="30"/>
      <c r="J37" s="30"/>
      <c r="K37" s="31"/>
      <c r="L37" s="30">
        <f t="shared" si="8"/>
        <v>0</v>
      </c>
      <c r="M37" s="32"/>
      <c r="N37" s="31"/>
      <c r="O37" s="30">
        <f t="shared" si="9"/>
        <v>0</v>
      </c>
      <c r="P37" s="33">
        <f t="shared" si="10"/>
        <v>0</v>
      </c>
      <c r="Q37" s="34"/>
    </row>
    <row r="38" spans="1:17" ht="25.5">
      <c r="A38" s="25">
        <v>150088</v>
      </c>
      <c r="B38" s="26" t="s">
        <v>69</v>
      </c>
      <c r="C38" s="27" t="s">
        <v>35</v>
      </c>
      <c r="D38" s="28">
        <v>5400603.88</v>
      </c>
      <c r="E38" s="28">
        <v>5300000</v>
      </c>
      <c r="F38" s="29">
        <v>5194000</v>
      </c>
      <c r="G38" s="30">
        <f>ROUND((D38-E38)*15/100,0)</f>
        <v>15091</v>
      </c>
      <c r="H38" s="30"/>
      <c r="I38" s="30"/>
      <c r="J38" s="45"/>
      <c r="K38" s="31">
        <f>ROUND((F38*0.01)-SUM(G38:J38),-3)</f>
        <v>37000</v>
      </c>
      <c r="L38" s="30">
        <f t="shared" si="8"/>
        <v>5246091</v>
      </c>
      <c r="M38" s="32">
        <f aca="true" t="shared" si="11" ref="M38:M47">+L38/D38</f>
        <v>0.9713897031826004</v>
      </c>
      <c r="N38" s="37"/>
      <c r="O38" s="30">
        <f t="shared" si="9"/>
        <v>5246091</v>
      </c>
      <c r="P38" s="33">
        <f t="shared" si="10"/>
        <v>0.9713897031826004</v>
      </c>
      <c r="Q38" s="34"/>
    </row>
    <row r="39" spans="1:17" ht="12.75">
      <c r="A39" s="25">
        <v>150092</v>
      </c>
      <c r="B39" s="44" t="s">
        <v>70</v>
      </c>
      <c r="C39" s="48"/>
      <c r="D39" s="28">
        <v>7614049.96</v>
      </c>
      <c r="E39" s="28">
        <v>7000000</v>
      </c>
      <c r="F39" s="29">
        <v>6860000</v>
      </c>
      <c r="G39" s="30"/>
      <c r="H39" s="30"/>
      <c r="I39" s="30"/>
      <c r="J39" s="30"/>
      <c r="K39" s="31">
        <f>ROUND((F39*0.01)-SUM(G39:J39),-3)</f>
        <v>69000</v>
      </c>
      <c r="L39" s="30">
        <f t="shared" si="8"/>
        <v>6929000</v>
      </c>
      <c r="M39" s="32">
        <f t="shared" si="11"/>
        <v>0.9100281763845952</v>
      </c>
      <c r="N39" s="31"/>
      <c r="O39" s="30">
        <f t="shared" si="9"/>
        <v>6929000</v>
      </c>
      <c r="P39" s="33">
        <f t="shared" si="10"/>
        <v>0.9100281763845952</v>
      </c>
      <c r="Q39" s="34"/>
    </row>
    <row r="40" spans="1:17" ht="12.75">
      <c r="A40" s="25">
        <v>150094</v>
      </c>
      <c r="B40" s="26" t="s">
        <v>71</v>
      </c>
      <c r="C40" s="27"/>
      <c r="D40" s="28">
        <v>1468155.85</v>
      </c>
      <c r="E40" s="28">
        <v>1700000</v>
      </c>
      <c r="F40" s="29">
        <v>1666000</v>
      </c>
      <c r="G40" s="45"/>
      <c r="H40" s="30"/>
      <c r="I40" s="30"/>
      <c r="J40" s="45"/>
      <c r="K40" s="31">
        <f>ROUND((F40*0.01)-SUM(G40:J40),-3)</f>
        <v>17000</v>
      </c>
      <c r="L40" s="30">
        <f t="shared" si="8"/>
        <v>1683000</v>
      </c>
      <c r="M40" s="32">
        <f t="shared" si="11"/>
        <v>1.1463360650710208</v>
      </c>
      <c r="N40" s="31"/>
      <c r="O40" s="30">
        <f t="shared" si="9"/>
        <v>1683000</v>
      </c>
      <c r="P40" s="33">
        <f t="shared" si="10"/>
        <v>1.1463360650710208</v>
      </c>
      <c r="Q40" s="34"/>
    </row>
    <row r="41" spans="1:17" ht="12.75">
      <c r="A41" s="25">
        <v>150095</v>
      </c>
      <c r="B41" s="26" t="s">
        <v>72</v>
      </c>
      <c r="C41" s="43"/>
      <c r="D41" s="28">
        <v>35790898.160000004</v>
      </c>
      <c r="E41" s="28">
        <v>35600000</v>
      </c>
      <c r="F41" s="29">
        <v>34888000</v>
      </c>
      <c r="G41" s="30"/>
      <c r="H41" s="39">
        <f>ROUND('[1]calcoli ARSan alta specialità'!F9,0)</f>
        <v>464768</v>
      </c>
      <c r="I41" s="30">
        <f>'[1]calcoli terapie intensive'!G44</f>
        <v>510000</v>
      </c>
      <c r="J41" s="30"/>
      <c r="K41" s="31"/>
      <c r="L41" s="30">
        <f t="shared" si="8"/>
        <v>35862768</v>
      </c>
      <c r="M41" s="32">
        <f t="shared" si="11"/>
        <v>1.002008047958973</v>
      </c>
      <c r="N41" s="31"/>
      <c r="O41" s="30">
        <f t="shared" si="9"/>
        <v>35862768</v>
      </c>
      <c r="P41" s="33">
        <f t="shared" si="10"/>
        <v>1.002008047958973</v>
      </c>
      <c r="Q41" s="34"/>
    </row>
    <row r="42" spans="1:17" ht="12.75">
      <c r="A42" s="25">
        <v>150099</v>
      </c>
      <c r="B42" s="44" t="s">
        <v>73</v>
      </c>
      <c r="C42" s="48"/>
      <c r="D42" s="28">
        <v>7190981.19</v>
      </c>
      <c r="E42" s="28">
        <v>6700000</v>
      </c>
      <c r="F42" s="29">
        <v>6566000</v>
      </c>
      <c r="G42" s="45"/>
      <c r="H42" s="30"/>
      <c r="I42" s="30"/>
      <c r="J42" s="45"/>
      <c r="K42" s="31">
        <f>ROUND((F42*0.01)-SUM(G42:J42),-3)</f>
        <v>66000</v>
      </c>
      <c r="L42" s="30">
        <f t="shared" si="8"/>
        <v>6632000</v>
      </c>
      <c r="M42" s="32">
        <f t="shared" si="11"/>
        <v>0.9222663534738018</v>
      </c>
      <c r="N42" s="31"/>
      <c r="O42" s="30">
        <f t="shared" si="9"/>
        <v>6632000</v>
      </c>
      <c r="P42" s="33">
        <f t="shared" si="10"/>
        <v>0.9222663534738018</v>
      </c>
      <c r="Q42" s="34"/>
    </row>
    <row r="43" spans="1:17" ht="12.75">
      <c r="A43" s="25">
        <v>150104</v>
      </c>
      <c r="B43" s="26" t="s">
        <v>74</v>
      </c>
      <c r="C43" s="43"/>
      <c r="D43" s="28">
        <v>5784260.430000001</v>
      </c>
      <c r="E43" s="28">
        <v>6000000</v>
      </c>
      <c r="F43" s="29">
        <v>5880000</v>
      </c>
      <c r="G43" s="30"/>
      <c r="H43" s="30"/>
      <c r="I43" s="30"/>
      <c r="J43" s="30"/>
      <c r="K43" s="31">
        <f>ROUND((F43*0.01)-SUM(G43:J43),-3)</f>
        <v>59000</v>
      </c>
      <c r="L43" s="30">
        <f t="shared" si="8"/>
        <v>5939000</v>
      </c>
      <c r="M43" s="32">
        <f t="shared" si="11"/>
        <v>1.0267518331639156</v>
      </c>
      <c r="N43" s="31"/>
      <c r="O43" s="30">
        <f t="shared" si="9"/>
        <v>5939000</v>
      </c>
      <c r="P43" s="33">
        <f t="shared" si="10"/>
        <v>1.0267518331639156</v>
      </c>
      <c r="Q43" s="34"/>
    </row>
    <row r="44" spans="1:17" ht="12.75">
      <c r="A44" s="25">
        <v>150106</v>
      </c>
      <c r="B44" s="26" t="s">
        <v>75</v>
      </c>
      <c r="C44" s="27" t="s">
        <v>54</v>
      </c>
      <c r="D44" s="28">
        <v>5977334.1899999995</v>
      </c>
      <c r="E44" s="28">
        <v>6700000</v>
      </c>
      <c r="F44" s="29">
        <v>6566000</v>
      </c>
      <c r="G44" s="30"/>
      <c r="H44" s="30"/>
      <c r="I44" s="30"/>
      <c r="J44" s="30"/>
      <c r="K44" s="31">
        <f>ROUND((F44*0.01)-SUM(G44:J44),-3)</f>
        <v>66000</v>
      </c>
      <c r="L44" s="30">
        <f t="shared" si="8"/>
        <v>6632000</v>
      </c>
      <c r="M44" s="32">
        <f t="shared" si="11"/>
        <v>1.1095247127214751</v>
      </c>
      <c r="N44" s="31"/>
      <c r="O44" s="30">
        <f t="shared" si="9"/>
        <v>6632000</v>
      </c>
      <c r="P44" s="33">
        <f t="shared" si="10"/>
        <v>1.1095247127214751</v>
      </c>
      <c r="Q44" s="34"/>
    </row>
    <row r="45" spans="1:17" ht="12.75">
      <c r="A45" s="25">
        <v>150109</v>
      </c>
      <c r="B45" s="26" t="s">
        <v>76</v>
      </c>
      <c r="C45" s="43"/>
      <c r="D45" s="28">
        <v>11719014.159999998</v>
      </c>
      <c r="E45" s="28">
        <v>12000000</v>
      </c>
      <c r="F45" s="29">
        <v>11760000</v>
      </c>
      <c r="G45" s="30"/>
      <c r="H45" s="30"/>
      <c r="I45" s="30"/>
      <c r="J45" s="30"/>
      <c r="K45" s="31">
        <f>ROUND((F45*0.01)-SUM(G45:J45),-3)</f>
        <v>118000</v>
      </c>
      <c r="L45" s="30">
        <f t="shared" si="8"/>
        <v>11878000</v>
      </c>
      <c r="M45" s="32">
        <f t="shared" si="11"/>
        <v>1.0135664858689788</v>
      </c>
      <c r="N45" s="31"/>
      <c r="O45" s="30">
        <f t="shared" si="9"/>
        <v>11878000</v>
      </c>
      <c r="P45" s="33">
        <f t="shared" si="10"/>
        <v>1.0135664858689788</v>
      </c>
      <c r="Q45" s="34"/>
    </row>
    <row r="46" spans="1:17" ht="12.75">
      <c r="A46" s="25">
        <v>150111</v>
      </c>
      <c r="B46" s="44" t="s">
        <v>77</v>
      </c>
      <c r="C46" s="48"/>
      <c r="D46" s="28">
        <v>6302516.68</v>
      </c>
      <c r="E46" s="28">
        <v>6800000</v>
      </c>
      <c r="F46" s="29">
        <v>6571000</v>
      </c>
      <c r="G46" s="30"/>
      <c r="H46" s="30"/>
      <c r="I46" s="30"/>
      <c r="J46" s="30">
        <f>(E46-F46)</f>
        <v>229000</v>
      </c>
      <c r="K46" s="31"/>
      <c r="L46" s="30">
        <f t="shared" si="8"/>
        <v>6800000</v>
      </c>
      <c r="M46" s="32">
        <f t="shared" si="11"/>
        <v>1.0789340743164841</v>
      </c>
      <c r="N46" s="31"/>
      <c r="O46" s="30">
        <f t="shared" si="9"/>
        <v>6800000</v>
      </c>
      <c r="P46" s="33">
        <f t="shared" si="10"/>
        <v>1.0789340743164841</v>
      </c>
      <c r="Q46" s="34"/>
    </row>
    <row r="47" spans="1:17" ht="12.75">
      <c r="A47" s="25">
        <v>150120</v>
      </c>
      <c r="B47" s="26" t="s">
        <v>78</v>
      </c>
      <c r="C47" s="43"/>
      <c r="D47" s="28">
        <v>2968319.55</v>
      </c>
      <c r="E47" s="28">
        <v>3000000</v>
      </c>
      <c r="F47" s="29">
        <v>2940000</v>
      </c>
      <c r="G47" s="30"/>
      <c r="H47" s="30"/>
      <c r="I47" s="30"/>
      <c r="J47" s="30"/>
      <c r="K47" s="31">
        <f>ROUND((F47*0.01)-SUM(G47:J47),-3)</f>
        <v>29000</v>
      </c>
      <c r="L47" s="30">
        <f t="shared" si="8"/>
        <v>2969000</v>
      </c>
      <c r="M47" s="32">
        <f t="shared" si="11"/>
        <v>1.0002292374485087</v>
      </c>
      <c r="N47" s="31"/>
      <c r="O47" s="30">
        <f t="shared" si="9"/>
        <v>2969000</v>
      </c>
      <c r="P47" s="33">
        <f t="shared" si="10"/>
        <v>1.0002292374485087</v>
      </c>
      <c r="Q47" s="34"/>
    </row>
    <row r="48" spans="1:229" s="23" customFormat="1" ht="15.75">
      <c r="A48" s="49" t="s">
        <v>79</v>
      </c>
      <c r="B48" s="47"/>
      <c r="C48" s="41" t="s">
        <v>33</v>
      </c>
      <c r="D48" s="21"/>
      <c r="E48" s="21"/>
      <c r="F48" s="21"/>
      <c r="G48" s="21"/>
      <c r="H48" s="21"/>
      <c r="I48" s="21"/>
      <c r="J48" s="21" t="s">
        <v>33</v>
      </c>
      <c r="K48" s="21"/>
      <c r="L48" s="30" t="s">
        <v>33</v>
      </c>
      <c r="M48" s="42"/>
      <c r="N48" s="21"/>
      <c r="O48" s="30" t="s">
        <v>33</v>
      </c>
      <c r="P48" s="33" t="s">
        <v>33</v>
      </c>
      <c r="Q48" s="34"/>
      <c r="HQ48" s="24"/>
      <c r="HR48" s="24"/>
      <c r="HS48" s="24"/>
      <c r="HT48" s="24"/>
      <c r="HU48" s="24"/>
    </row>
    <row r="49" spans="1:17" ht="12.75">
      <c r="A49" s="25">
        <v>150097</v>
      </c>
      <c r="B49" s="26" t="s">
        <v>80</v>
      </c>
      <c r="C49" s="27" t="s">
        <v>35</v>
      </c>
      <c r="D49" s="28">
        <v>4321650.79368</v>
      </c>
      <c r="E49" s="28">
        <v>3900000</v>
      </c>
      <c r="F49" s="29">
        <v>3822000</v>
      </c>
      <c r="G49" s="30">
        <f>ROUND((D49-E49)*15/100,0)</f>
        <v>63248</v>
      </c>
      <c r="H49" s="30"/>
      <c r="I49" s="30"/>
      <c r="J49" s="30"/>
      <c r="K49" s="31"/>
      <c r="L49" s="30">
        <f>F49+G49+H49+I49+J49+K49</f>
        <v>3885248</v>
      </c>
      <c r="M49" s="32">
        <f>+L49/D49</f>
        <v>0.8990194223193143</v>
      </c>
      <c r="N49" s="31"/>
      <c r="O49" s="30">
        <f>L49+N49</f>
        <v>3885248</v>
      </c>
      <c r="P49" s="33">
        <f>+O49/D49</f>
        <v>0.8990194223193143</v>
      </c>
      <c r="Q49" s="34"/>
    </row>
    <row r="50" spans="1:17" ht="12.75">
      <c r="A50" s="25">
        <v>150101</v>
      </c>
      <c r="B50" s="26" t="s">
        <v>81</v>
      </c>
      <c r="C50" s="43"/>
      <c r="D50" s="28">
        <v>2943902.59</v>
      </c>
      <c r="E50" s="28">
        <v>2900000</v>
      </c>
      <c r="F50" s="29">
        <v>2842000</v>
      </c>
      <c r="G50" s="30"/>
      <c r="H50" s="30"/>
      <c r="I50" s="30"/>
      <c r="J50" s="30"/>
      <c r="K50" s="31">
        <f>ROUND((F50*0.01)-SUM(G50:J50),-3)</f>
        <v>28000</v>
      </c>
      <c r="L50" s="30">
        <f>F50+G50+H50+I50+J50+K50</f>
        <v>2870000</v>
      </c>
      <c r="M50" s="32">
        <f>+L50/D50</f>
        <v>0.9748963874514612</v>
      </c>
      <c r="N50" s="31"/>
      <c r="O50" s="30">
        <f>L50+N50</f>
        <v>2870000</v>
      </c>
      <c r="P50" s="33">
        <f>+O50/D50</f>
        <v>0.9748963874514612</v>
      </c>
      <c r="Q50" s="34"/>
    </row>
    <row r="51" spans="1:17" ht="12.75">
      <c r="A51" s="25">
        <v>150116</v>
      </c>
      <c r="B51" s="26" t="s">
        <v>82</v>
      </c>
      <c r="C51" s="43"/>
      <c r="D51" s="28">
        <v>16660960.900000002</v>
      </c>
      <c r="E51" s="28">
        <v>17000000</v>
      </c>
      <c r="F51" s="29">
        <v>16479000</v>
      </c>
      <c r="G51" s="30"/>
      <c r="H51" s="30"/>
      <c r="I51" s="30"/>
      <c r="J51" s="30"/>
      <c r="K51" s="31">
        <f>ROUND((F51*0.01)-SUM(G51:J51),-3)</f>
        <v>165000</v>
      </c>
      <c r="L51" s="30">
        <f>F51+G51+H51+I51+J51+K51</f>
        <v>16644000</v>
      </c>
      <c r="M51" s="32">
        <f>+L51/D51</f>
        <v>0.9989819974909129</v>
      </c>
      <c r="N51" s="31"/>
      <c r="O51" s="30">
        <f>L51+N51</f>
        <v>16644000</v>
      </c>
      <c r="P51" s="33">
        <f>+O51/D51</f>
        <v>0.9989819974909129</v>
      </c>
      <c r="Q51" s="34"/>
    </row>
    <row r="52" spans="1:17" ht="15.75">
      <c r="A52" s="49" t="s">
        <v>83</v>
      </c>
      <c r="B52" s="47"/>
      <c r="C52" s="41" t="s">
        <v>33</v>
      </c>
      <c r="D52" s="21"/>
      <c r="E52" s="21"/>
      <c r="F52" s="21"/>
      <c r="G52" s="21"/>
      <c r="H52" s="21"/>
      <c r="I52" s="21"/>
      <c r="J52" s="21" t="s">
        <v>33</v>
      </c>
      <c r="K52" s="21"/>
      <c r="L52" s="30" t="s">
        <v>33</v>
      </c>
      <c r="M52" s="42"/>
      <c r="N52" s="21"/>
      <c r="O52" s="30" t="s">
        <v>33</v>
      </c>
      <c r="P52" s="33" t="s">
        <v>33</v>
      </c>
      <c r="Q52" s="34"/>
    </row>
    <row r="53" spans="1:17" ht="12.75">
      <c r="A53" s="25">
        <v>150082</v>
      </c>
      <c r="B53" s="26" t="s">
        <v>84</v>
      </c>
      <c r="C53" s="27" t="s">
        <v>46</v>
      </c>
      <c r="D53" s="28">
        <v>4059871.38</v>
      </c>
      <c r="E53" s="28">
        <v>3300000</v>
      </c>
      <c r="F53" s="29">
        <v>3234000</v>
      </c>
      <c r="G53" s="30">
        <f>ROUND((D53-E53)*15/100,0)</f>
        <v>113981</v>
      </c>
      <c r="H53" s="30"/>
      <c r="I53" s="30"/>
      <c r="J53" s="30"/>
      <c r="K53" s="31"/>
      <c r="L53" s="30">
        <f aca="true" t="shared" si="12" ref="L53:L65">F53+G53+H53+I53+J53+K53</f>
        <v>3347981</v>
      </c>
      <c r="M53" s="36">
        <f aca="true" t="shared" si="13" ref="M53:M65">+L53/D53</f>
        <v>0.8246519868814169</v>
      </c>
      <c r="N53" s="37"/>
      <c r="O53" s="30">
        <f aca="true" t="shared" si="14" ref="O53:O65">L53+N53</f>
        <v>3347981</v>
      </c>
      <c r="P53" s="33">
        <f aca="true" t="shared" si="15" ref="P53:P65">+O53/D53</f>
        <v>0.8246519868814169</v>
      </c>
      <c r="Q53" s="34"/>
    </row>
    <row r="54" spans="1:17" ht="12.75">
      <c r="A54" s="25">
        <v>150100</v>
      </c>
      <c r="B54" s="26" t="s">
        <v>85</v>
      </c>
      <c r="C54" s="43"/>
      <c r="D54" s="28">
        <v>11097078.9</v>
      </c>
      <c r="E54" s="28">
        <v>11500000</v>
      </c>
      <c r="F54" s="29">
        <v>11270000</v>
      </c>
      <c r="G54" s="30"/>
      <c r="H54" s="30"/>
      <c r="I54" s="30"/>
      <c r="J54" s="30"/>
      <c r="K54" s="31">
        <f>ROUND((F54*0.01)-SUM(G54:J54),-3)</f>
        <v>113000</v>
      </c>
      <c r="L54" s="30">
        <f t="shared" si="12"/>
        <v>11383000</v>
      </c>
      <c r="M54" s="32">
        <f t="shared" si="13"/>
        <v>1.0257654381460692</v>
      </c>
      <c r="N54" s="31"/>
      <c r="O54" s="30">
        <f t="shared" si="14"/>
        <v>11383000</v>
      </c>
      <c r="P54" s="33">
        <f t="shared" si="15"/>
        <v>1.0257654381460692</v>
      </c>
      <c r="Q54" s="34"/>
    </row>
    <row r="55" spans="1:17" ht="12.75">
      <c r="A55" s="25">
        <v>150102</v>
      </c>
      <c r="B55" s="26" t="s">
        <v>86</v>
      </c>
      <c r="C55" s="43"/>
      <c r="D55" s="28">
        <v>3290081.95</v>
      </c>
      <c r="E55" s="28">
        <v>3100000</v>
      </c>
      <c r="F55" s="29">
        <v>3038000</v>
      </c>
      <c r="G55" s="30"/>
      <c r="H55" s="30"/>
      <c r="I55" s="30"/>
      <c r="J55" s="30"/>
      <c r="K55" s="31">
        <f>ROUND((F55*0.01)-SUM(G55:J55),-3)</f>
        <v>30000</v>
      </c>
      <c r="L55" s="30">
        <f t="shared" si="12"/>
        <v>3068000</v>
      </c>
      <c r="M55" s="32">
        <f t="shared" si="13"/>
        <v>0.932499568893717</v>
      </c>
      <c r="N55" s="31"/>
      <c r="O55" s="30">
        <f t="shared" si="14"/>
        <v>3068000</v>
      </c>
      <c r="P55" s="33">
        <f t="shared" si="15"/>
        <v>0.932499568893717</v>
      </c>
      <c r="Q55" s="34"/>
    </row>
    <row r="56" spans="1:17" ht="12.75">
      <c r="A56" s="25">
        <v>150105</v>
      </c>
      <c r="B56" s="26" t="s">
        <v>87</v>
      </c>
      <c r="C56" s="43"/>
      <c r="D56" s="28">
        <v>12887784.31</v>
      </c>
      <c r="E56" s="28">
        <v>12700000</v>
      </c>
      <c r="F56" s="29">
        <v>12446000</v>
      </c>
      <c r="G56" s="30"/>
      <c r="H56" s="30"/>
      <c r="I56" s="30"/>
      <c r="J56" s="30"/>
      <c r="K56" s="31">
        <f>ROUND((F56*0.01)-SUM(G56:J56),-3)</f>
        <v>124000</v>
      </c>
      <c r="L56" s="30">
        <f t="shared" si="12"/>
        <v>12570000</v>
      </c>
      <c r="M56" s="32">
        <f t="shared" si="13"/>
        <v>0.9753422076009277</v>
      </c>
      <c r="N56" s="31"/>
      <c r="O56" s="30">
        <f t="shared" si="14"/>
        <v>12570000</v>
      </c>
      <c r="P56" s="33">
        <f t="shared" si="15"/>
        <v>0.9753422076009277</v>
      </c>
      <c r="Q56" s="34"/>
    </row>
    <row r="57" spans="1:17" ht="12.75">
      <c r="A57" s="25">
        <v>150107</v>
      </c>
      <c r="B57" s="26" t="s">
        <v>88</v>
      </c>
      <c r="C57" s="43"/>
      <c r="D57" s="28">
        <v>1361905.1</v>
      </c>
      <c r="E57" s="28">
        <v>1350000</v>
      </c>
      <c r="F57" s="29">
        <v>1323000</v>
      </c>
      <c r="G57" s="30"/>
      <c r="H57" s="30"/>
      <c r="I57" s="30"/>
      <c r="J57" s="30"/>
      <c r="K57" s="31">
        <f>ROUND((F57*0.01)-SUM(G57:J57),-3)</f>
        <v>13000</v>
      </c>
      <c r="L57" s="30">
        <f t="shared" si="12"/>
        <v>1336000</v>
      </c>
      <c r="M57" s="32">
        <f t="shared" si="13"/>
        <v>0.9809787774493244</v>
      </c>
      <c r="N57" s="31"/>
      <c r="O57" s="30">
        <f t="shared" si="14"/>
        <v>1336000</v>
      </c>
      <c r="P57" s="33">
        <f t="shared" si="15"/>
        <v>0.9809787774493244</v>
      </c>
      <c r="Q57" s="34"/>
    </row>
    <row r="58" spans="1:17" ht="12.75">
      <c r="A58" s="25">
        <v>150108</v>
      </c>
      <c r="B58" s="26" t="s">
        <v>89</v>
      </c>
      <c r="C58" s="27" t="s">
        <v>35</v>
      </c>
      <c r="D58" s="28">
        <v>10990054.48</v>
      </c>
      <c r="E58" s="28">
        <v>10100000</v>
      </c>
      <c r="F58" s="29">
        <v>9898000</v>
      </c>
      <c r="G58" s="30">
        <f>ROUND((D58-E58)*15/100,0)</f>
        <v>133508</v>
      </c>
      <c r="H58" s="30"/>
      <c r="I58" s="30"/>
      <c r="J58" s="30"/>
      <c r="K58" s="31"/>
      <c r="L58" s="30">
        <f t="shared" si="12"/>
        <v>10031508</v>
      </c>
      <c r="M58" s="32">
        <f t="shared" si="13"/>
        <v>0.9127805524763877</v>
      </c>
      <c r="N58" s="31"/>
      <c r="O58" s="30">
        <f t="shared" si="14"/>
        <v>10031508</v>
      </c>
      <c r="P58" s="33">
        <f t="shared" si="15"/>
        <v>0.9127805524763877</v>
      </c>
      <c r="Q58" s="34"/>
    </row>
    <row r="59" spans="1:17" ht="12.75">
      <c r="A59" s="25">
        <v>150110</v>
      </c>
      <c r="B59" s="26" t="s">
        <v>90</v>
      </c>
      <c r="C59" s="43"/>
      <c r="D59" s="28">
        <v>14381229.08</v>
      </c>
      <c r="E59" s="28">
        <v>13400000</v>
      </c>
      <c r="F59" s="29">
        <v>13132000</v>
      </c>
      <c r="G59" s="30"/>
      <c r="H59" s="30"/>
      <c r="I59" s="30"/>
      <c r="J59" s="30"/>
      <c r="K59" s="31">
        <f>ROUND((F59*0.01)-SUM(G59:J59),-3)</f>
        <v>131000</v>
      </c>
      <c r="L59" s="30">
        <f t="shared" si="12"/>
        <v>13263000</v>
      </c>
      <c r="M59" s="32">
        <f t="shared" si="13"/>
        <v>0.9222438448216417</v>
      </c>
      <c r="N59" s="31"/>
      <c r="O59" s="30">
        <f t="shared" si="14"/>
        <v>13263000</v>
      </c>
      <c r="P59" s="33">
        <f t="shared" si="15"/>
        <v>0.9222438448216417</v>
      </c>
      <c r="Q59" s="34"/>
    </row>
    <row r="60" spans="1:17" ht="12.75">
      <c r="A60" s="25">
        <v>150113</v>
      </c>
      <c r="B60" s="26" t="s">
        <v>91</v>
      </c>
      <c r="C60" s="43"/>
      <c r="D60" s="28">
        <v>21100031.62</v>
      </c>
      <c r="E60" s="28">
        <v>20500000</v>
      </c>
      <c r="F60" s="29">
        <v>20090000</v>
      </c>
      <c r="G60" s="30"/>
      <c r="H60" s="30"/>
      <c r="I60" s="30"/>
      <c r="J60" s="30"/>
      <c r="K60" s="31">
        <f>ROUND((F60*0.01)-SUM(G60:J60),-3)</f>
        <v>201000</v>
      </c>
      <c r="L60" s="30">
        <f t="shared" si="12"/>
        <v>20291000</v>
      </c>
      <c r="M60" s="32">
        <f t="shared" si="13"/>
        <v>0.9616573266538071</v>
      </c>
      <c r="N60" s="31"/>
      <c r="O60" s="30">
        <f t="shared" si="14"/>
        <v>20291000</v>
      </c>
      <c r="P60" s="33">
        <f t="shared" si="15"/>
        <v>0.9616573266538071</v>
      </c>
      <c r="Q60" s="34"/>
    </row>
    <row r="61" spans="1:17" ht="12.75">
      <c r="A61" s="25">
        <v>150114</v>
      </c>
      <c r="B61" s="26" t="s">
        <v>92</v>
      </c>
      <c r="C61" s="27" t="s">
        <v>35</v>
      </c>
      <c r="D61" s="28">
        <v>10952696.360000001</v>
      </c>
      <c r="E61" s="28">
        <v>9600000</v>
      </c>
      <c r="F61" s="29">
        <v>9408000</v>
      </c>
      <c r="G61" s="30">
        <f>ROUND((D61-E61)*15/100,0)</f>
        <v>202904</v>
      </c>
      <c r="H61" s="30"/>
      <c r="I61" s="30"/>
      <c r="J61" s="30"/>
      <c r="K61" s="31"/>
      <c r="L61" s="30">
        <f t="shared" si="12"/>
        <v>9610904</v>
      </c>
      <c r="M61" s="32">
        <f t="shared" si="13"/>
        <v>0.8774920516467234</v>
      </c>
      <c r="N61" s="31"/>
      <c r="O61" s="30">
        <f t="shared" si="14"/>
        <v>9610904</v>
      </c>
      <c r="P61" s="33">
        <f t="shared" si="15"/>
        <v>0.8774920516467234</v>
      </c>
      <c r="Q61" s="34"/>
    </row>
    <row r="62" spans="1:17" ht="12.75">
      <c r="A62" s="25">
        <v>150115</v>
      </c>
      <c r="B62" s="26" t="s">
        <v>93</v>
      </c>
      <c r="C62" s="43"/>
      <c r="D62" s="28">
        <v>642534.44</v>
      </c>
      <c r="E62" s="28">
        <v>1200000</v>
      </c>
      <c r="F62" s="29">
        <v>1176000</v>
      </c>
      <c r="G62" s="30"/>
      <c r="H62" s="30"/>
      <c r="I62" s="30"/>
      <c r="J62" s="30"/>
      <c r="K62" s="31">
        <f>ROUND((F62*0.01)-SUM(G62:J62),-3)</f>
        <v>12000</v>
      </c>
      <c r="L62" s="30">
        <f t="shared" si="12"/>
        <v>1188000</v>
      </c>
      <c r="M62" s="32">
        <f t="shared" si="13"/>
        <v>1.8489281290509503</v>
      </c>
      <c r="N62" s="31"/>
      <c r="O62" s="30">
        <f t="shared" si="14"/>
        <v>1188000</v>
      </c>
      <c r="P62" s="33">
        <f t="shared" si="15"/>
        <v>1.8489281290509503</v>
      </c>
      <c r="Q62" s="34"/>
    </row>
    <row r="63" spans="1:17" ht="12.75">
      <c r="A63" s="25">
        <v>150117</v>
      </c>
      <c r="B63" s="26" t="s">
        <v>94</v>
      </c>
      <c r="C63" s="27" t="s">
        <v>46</v>
      </c>
      <c r="D63" s="28">
        <v>4589302.95</v>
      </c>
      <c r="E63" s="28">
        <v>3300000</v>
      </c>
      <c r="F63" s="29">
        <v>3234000</v>
      </c>
      <c r="G63" s="30">
        <f>ROUND((D63-E63)*15/100,0)</f>
        <v>193395</v>
      </c>
      <c r="H63" s="30"/>
      <c r="I63" s="30"/>
      <c r="J63" s="30"/>
      <c r="K63" s="31"/>
      <c r="L63" s="30">
        <f t="shared" si="12"/>
        <v>3427395</v>
      </c>
      <c r="M63" s="36">
        <f t="shared" si="13"/>
        <v>0.7468225648515969</v>
      </c>
      <c r="N63" s="37">
        <f>ROUND((D63*80/100)-L63,-3)</f>
        <v>244000</v>
      </c>
      <c r="O63" s="30">
        <f t="shared" si="14"/>
        <v>3671395</v>
      </c>
      <c r="P63" s="33">
        <f t="shared" si="15"/>
        <v>0.7999896803500409</v>
      </c>
      <c r="Q63" s="34"/>
    </row>
    <row r="64" spans="1:17" ht="12.75">
      <c r="A64" s="25">
        <v>150121</v>
      </c>
      <c r="B64" s="26" t="s">
        <v>95</v>
      </c>
      <c r="C64" s="43"/>
      <c r="D64" s="28">
        <v>1052526.52</v>
      </c>
      <c r="E64" s="28">
        <v>2100000</v>
      </c>
      <c r="F64" s="29">
        <v>2058000</v>
      </c>
      <c r="G64" s="30"/>
      <c r="H64" s="30"/>
      <c r="I64" s="30"/>
      <c r="J64" s="30"/>
      <c r="K64" s="31">
        <f>ROUND((F64*0.01)-SUM(G64:J64),-3)</f>
        <v>21000</v>
      </c>
      <c r="L64" s="30">
        <f t="shared" si="12"/>
        <v>2079000</v>
      </c>
      <c r="M64" s="32">
        <f t="shared" si="13"/>
        <v>1.975247141516206</v>
      </c>
      <c r="N64" s="31"/>
      <c r="O64" s="30">
        <f t="shared" si="14"/>
        <v>2079000</v>
      </c>
      <c r="P64" s="33">
        <f t="shared" si="15"/>
        <v>1.975247141516206</v>
      </c>
      <c r="Q64" s="34"/>
    </row>
    <row r="65" spans="1:17" ht="12.75">
      <c r="A65" s="25">
        <v>150192</v>
      </c>
      <c r="B65" s="26" t="s">
        <v>96</v>
      </c>
      <c r="C65" s="43"/>
      <c r="D65" s="28">
        <v>8553512.52</v>
      </c>
      <c r="E65" s="28">
        <v>8600000</v>
      </c>
      <c r="F65" s="29">
        <v>8428000</v>
      </c>
      <c r="G65" s="45"/>
      <c r="H65" s="45"/>
      <c r="I65" s="45"/>
      <c r="J65" s="30">
        <f>(F65*5/100)</f>
        <v>421400</v>
      </c>
      <c r="K65" s="31"/>
      <c r="L65" s="30">
        <f t="shared" si="12"/>
        <v>8849400</v>
      </c>
      <c r="M65" s="32">
        <f t="shared" si="13"/>
        <v>1.0345925114750403</v>
      </c>
      <c r="N65" s="31"/>
      <c r="O65" s="30">
        <f t="shared" si="14"/>
        <v>8849400</v>
      </c>
      <c r="P65" s="33">
        <f t="shared" si="15"/>
        <v>1.0345925114750403</v>
      </c>
      <c r="Q65" s="34"/>
    </row>
    <row r="66" spans="1:229" s="23" customFormat="1" ht="15.75">
      <c r="A66" s="20" t="s">
        <v>97</v>
      </c>
      <c r="B66" s="47"/>
      <c r="C66" s="41" t="s">
        <v>33</v>
      </c>
      <c r="D66" s="21"/>
      <c r="E66" s="21"/>
      <c r="F66" s="21"/>
      <c r="G66" s="21"/>
      <c r="H66" s="21"/>
      <c r="I66" s="21"/>
      <c r="J66" s="21" t="s">
        <v>33</v>
      </c>
      <c r="K66" s="21"/>
      <c r="L66" s="30" t="s">
        <v>33</v>
      </c>
      <c r="M66" s="42"/>
      <c r="N66" s="21"/>
      <c r="O66" s="30" t="s">
        <v>33</v>
      </c>
      <c r="P66" s="33" t="s">
        <v>33</v>
      </c>
      <c r="Q66" s="34"/>
      <c r="HQ66" s="24"/>
      <c r="HR66" s="24"/>
      <c r="HS66" s="24"/>
      <c r="HT66" s="24"/>
      <c r="HU66" s="24"/>
    </row>
    <row r="67" spans="1:17" ht="12.75">
      <c r="A67" s="25">
        <v>150167</v>
      </c>
      <c r="B67" s="26" t="s">
        <v>98</v>
      </c>
      <c r="C67" s="27" t="s">
        <v>35</v>
      </c>
      <c r="D67" s="28">
        <v>9700655.04</v>
      </c>
      <c r="E67" s="28">
        <v>8700000</v>
      </c>
      <c r="F67" s="29">
        <v>8526000</v>
      </c>
      <c r="G67" s="30">
        <f>ROUND((D67-E67)*15/100,0)</f>
        <v>150098</v>
      </c>
      <c r="H67" s="30"/>
      <c r="I67" s="30"/>
      <c r="J67" s="30"/>
      <c r="K67" s="31"/>
      <c r="L67" s="30">
        <f aca="true" t="shared" si="16" ref="L67:L76">F67+G67+H67+I67+J67+K67</f>
        <v>8676098</v>
      </c>
      <c r="M67" s="32">
        <f aca="true" t="shared" si="17" ref="M67:M76">+L67/D67</f>
        <v>0.894382695212302</v>
      </c>
      <c r="N67" s="31"/>
      <c r="O67" s="30">
        <f aca="true" t="shared" si="18" ref="O67:O76">L67+N67</f>
        <v>8676098</v>
      </c>
      <c r="P67" s="33">
        <f aca="true" t="shared" si="19" ref="P67:P77">+O67/D67</f>
        <v>0.894382695212302</v>
      </c>
      <c r="Q67" s="34"/>
    </row>
    <row r="68" spans="1:17" ht="12.75">
      <c r="A68" s="25">
        <v>150170</v>
      </c>
      <c r="B68" s="26" t="s">
        <v>99</v>
      </c>
      <c r="C68" s="43"/>
      <c r="D68" s="28">
        <v>12027400.260000002</v>
      </c>
      <c r="E68" s="28">
        <v>12600000</v>
      </c>
      <c r="F68" s="29">
        <v>12348000</v>
      </c>
      <c r="G68" s="30"/>
      <c r="H68" s="30"/>
      <c r="I68" s="30"/>
      <c r="J68" s="30"/>
      <c r="K68" s="31">
        <f>ROUND((F68*0.01)-SUM(G68:J68),-3)</f>
        <v>123000</v>
      </c>
      <c r="L68" s="30">
        <f t="shared" si="16"/>
        <v>12471000</v>
      </c>
      <c r="M68" s="32">
        <f t="shared" si="17"/>
        <v>1.0368824293205985</v>
      </c>
      <c r="N68" s="31"/>
      <c r="O68" s="30">
        <f t="shared" si="18"/>
        <v>12471000</v>
      </c>
      <c r="P68" s="33">
        <f t="shared" si="19"/>
        <v>1.0368824293205985</v>
      </c>
      <c r="Q68" s="34"/>
    </row>
    <row r="69" spans="1:17" ht="12.75">
      <c r="A69" s="25">
        <v>150171</v>
      </c>
      <c r="B69" s="26" t="s">
        <v>100</v>
      </c>
      <c r="C69" s="43"/>
      <c r="D69" s="28">
        <v>5404962.87</v>
      </c>
      <c r="E69" s="28">
        <v>5070000</v>
      </c>
      <c r="F69" s="29">
        <v>4969000</v>
      </c>
      <c r="G69" s="30"/>
      <c r="H69" s="30"/>
      <c r="I69" s="30"/>
      <c r="J69" s="30"/>
      <c r="K69" s="31">
        <f>ROUND((F69*0.01)-SUM(G69:J69),-3)</f>
        <v>50000</v>
      </c>
      <c r="L69" s="30">
        <f t="shared" si="16"/>
        <v>5019000</v>
      </c>
      <c r="M69" s="32">
        <f t="shared" si="17"/>
        <v>0.9285910228648805</v>
      </c>
      <c r="N69" s="31"/>
      <c r="O69" s="30">
        <f t="shared" si="18"/>
        <v>5019000</v>
      </c>
      <c r="P69" s="33">
        <f t="shared" si="19"/>
        <v>0.9285910228648805</v>
      </c>
      <c r="Q69" s="34"/>
    </row>
    <row r="70" spans="1:17" ht="12.75">
      <c r="A70" s="25">
        <v>150172</v>
      </c>
      <c r="B70" s="44" t="s">
        <v>101</v>
      </c>
      <c r="C70" s="50"/>
      <c r="D70" s="28">
        <v>475094.45</v>
      </c>
      <c r="E70" s="28">
        <v>700000</v>
      </c>
      <c r="F70" s="29">
        <v>0</v>
      </c>
      <c r="G70" s="30"/>
      <c r="H70" s="30"/>
      <c r="I70" s="30"/>
      <c r="J70" s="30"/>
      <c r="K70" s="31">
        <f>ROUND((F70*0.01)-SUM(G70:J70),-3)</f>
        <v>0</v>
      </c>
      <c r="L70" s="30">
        <f t="shared" si="16"/>
        <v>0</v>
      </c>
      <c r="M70" s="32">
        <f t="shared" si="17"/>
        <v>0</v>
      </c>
      <c r="N70" s="31"/>
      <c r="O70" s="30">
        <f t="shared" si="18"/>
        <v>0</v>
      </c>
      <c r="P70" s="33">
        <f t="shared" si="19"/>
        <v>0</v>
      </c>
      <c r="Q70" s="34"/>
    </row>
    <row r="71" spans="1:17" ht="12.75">
      <c r="A71" s="25">
        <v>150173</v>
      </c>
      <c r="B71" s="26" t="s">
        <v>102</v>
      </c>
      <c r="C71" s="43"/>
      <c r="D71" s="28">
        <v>12684687.719</v>
      </c>
      <c r="E71" s="28">
        <v>13000000</v>
      </c>
      <c r="F71" s="29">
        <v>12740000</v>
      </c>
      <c r="G71" s="30"/>
      <c r="H71" s="30"/>
      <c r="I71" s="30"/>
      <c r="J71" s="30"/>
      <c r="K71" s="31">
        <f>ROUND((F71*0.01)-SUM(G71:J71),-3)</f>
        <v>127000</v>
      </c>
      <c r="L71" s="30">
        <f t="shared" si="16"/>
        <v>12867000</v>
      </c>
      <c r="M71" s="32">
        <f t="shared" si="17"/>
        <v>1.0143726266691548</v>
      </c>
      <c r="N71" s="31"/>
      <c r="O71" s="30">
        <f t="shared" si="18"/>
        <v>12867000</v>
      </c>
      <c r="P71" s="33">
        <f t="shared" si="19"/>
        <v>1.0143726266691548</v>
      </c>
      <c r="Q71" s="34"/>
    </row>
    <row r="72" spans="1:17" ht="12.75">
      <c r="A72" s="25">
        <v>150175</v>
      </c>
      <c r="B72" s="26" t="s">
        <v>103</v>
      </c>
      <c r="C72" s="43"/>
      <c r="D72" s="28">
        <v>24451745.150000002</v>
      </c>
      <c r="E72" s="28">
        <v>23900000</v>
      </c>
      <c r="F72" s="29">
        <v>23422000</v>
      </c>
      <c r="G72" s="30"/>
      <c r="H72" s="30"/>
      <c r="I72" s="30"/>
      <c r="J72" s="30">
        <f>(E72-F72)</f>
        <v>478000</v>
      </c>
      <c r="K72" s="31"/>
      <c r="L72" s="30">
        <f t="shared" si="16"/>
        <v>23900000</v>
      </c>
      <c r="M72" s="32">
        <f t="shared" si="17"/>
        <v>0.977435346777283</v>
      </c>
      <c r="N72" s="31"/>
      <c r="O72" s="30">
        <f t="shared" si="18"/>
        <v>23900000</v>
      </c>
      <c r="P72" s="33">
        <f t="shared" si="19"/>
        <v>0.977435346777283</v>
      </c>
      <c r="Q72" s="34"/>
    </row>
    <row r="73" spans="1:17" ht="12.75">
      <c r="A73" s="25">
        <v>150176</v>
      </c>
      <c r="B73" s="26" t="s">
        <v>104</v>
      </c>
      <c r="C73" s="27" t="s">
        <v>54</v>
      </c>
      <c r="D73" s="28">
        <v>11515629.19</v>
      </c>
      <c r="E73" s="28">
        <v>7900000</v>
      </c>
      <c r="F73" s="29">
        <v>7742000</v>
      </c>
      <c r="G73" s="30">
        <f>ROUND((D73-E73)*15/100,0)</f>
        <v>542344</v>
      </c>
      <c r="H73" s="45"/>
      <c r="I73" s="30"/>
      <c r="J73" s="45"/>
      <c r="K73" s="31"/>
      <c r="L73" s="30">
        <f t="shared" si="16"/>
        <v>8284344</v>
      </c>
      <c r="M73" s="36">
        <f t="shared" si="17"/>
        <v>0.7194000313238638</v>
      </c>
      <c r="N73" s="37">
        <f>ROUND((D73*80/100)-L73,-3)</f>
        <v>928000</v>
      </c>
      <c r="O73" s="30">
        <f t="shared" si="18"/>
        <v>9212344</v>
      </c>
      <c r="P73" s="33">
        <f t="shared" si="19"/>
        <v>0.7999861621108695</v>
      </c>
      <c r="Q73" s="34"/>
    </row>
    <row r="74" spans="1:17" ht="12.75">
      <c r="A74" s="25">
        <v>150177</v>
      </c>
      <c r="B74" s="44" t="s">
        <v>105</v>
      </c>
      <c r="C74" s="48"/>
      <c r="D74" s="28">
        <v>13266063.170000002</v>
      </c>
      <c r="E74" s="28">
        <v>13300000</v>
      </c>
      <c r="F74" s="29">
        <v>13034000</v>
      </c>
      <c r="G74" s="45"/>
      <c r="H74" s="45"/>
      <c r="I74" s="30"/>
      <c r="J74" s="45"/>
      <c r="K74" s="31">
        <f>ROUND((F74*0.01)-SUM(G74:J74),-3)</f>
        <v>130000</v>
      </c>
      <c r="L74" s="30">
        <f t="shared" si="16"/>
        <v>13164000</v>
      </c>
      <c r="M74" s="32">
        <f t="shared" si="17"/>
        <v>0.9923064462537154</v>
      </c>
      <c r="N74" s="31"/>
      <c r="O74" s="30">
        <f t="shared" si="18"/>
        <v>13164000</v>
      </c>
      <c r="P74" s="33">
        <f t="shared" si="19"/>
        <v>0.9923064462537154</v>
      </c>
      <c r="Q74" s="34"/>
    </row>
    <row r="75" spans="1:17" ht="12.75">
      <c r="A75" s="25">
        <v>150178</v>
      </c>
      <c r="B75" s="26" t="s">
        <v>106</v>
      </c>
      <c r="C75" s="43"/>
      <c r="D75" s="28">
        <v>8072365.57</v>
      </c>
      <c r="E75" s="28">
        <v>8000000</v>
      </c>
      <c r="F75" s="29">
        <v>7840000</v>
      </c>
      <c r="G75" s="45"/>
      <c r="H75" s="45"/>
      <c r="I75" s="30"/>
      <c r="J75" s="45"/>
      <c r="K75" s="31">
        <f>ROUND((F75*0.01)-SUM(G75:J75),-3)</f>
        <v>78000</v>
      </c>
      <c r="L75" s="30">
        <f t="shared" si="16"/>
        <v>7918000</v>
      </c>
      <c r="M75" s="32">
        <f t="shared" si="17"/>
        <v>0.9808772820480676</v>
      </c>
      <c r="N75" s="31"/>
      <c r="O75" s="30">
        <f t="shared" si="18"/>
        <v>7918000</v>
      </c>
      <c r="P75" s="33">
        <f t="shared" si="19"/>
        <v>0.9808772820480676</v>
      </c>
      <c r="Q75" s="34"/>
    </row>
    <row r="76" spans="1:17" ht="12.75">
      <c r="A76" s="25">
        <v>150420</v>
      </c>
      <c r="B76" s="44" t="s">
        <v>107</v>
      </c>
      <c r="C76" s="48"/>
      <c r="D76" s="28">
        <v>3845564.6</v>
      </c>
      <c r="E76" s="28">
        <v>3800000</v>
      </c>
      <c r="F76" s="29">
        <v>3724000</v>
      </c>
      <c r="G76" s="30"/>
      <c r="H76" s="30"/>
      <c r="I76" s="30"/>
      <c r="J76" s="30">
        <f>(E76-F76)</f>
        <v>76000</v>
      </c>
      <c r="K76" s="31"/>
      <c r="L76" s="30">
        <f t="shared" si="16"/>
        <v>3800000</v>
      </c>
      <c r="M76" s="32">
        <f t="shared" si="17"/>
        <v>0.9881513887453613</v>
      </c>
      <c r="N76" s="31"/>
      <c r="O76" s="30">
        <f t="shared" si="18"/>
        <v>3800000</v>
      </c>
      <c r="P76" s="33">
        <f t="shared" si="19"/>
        <v>0.9881513887453613</v>
      </c>
      <c r="Q76" s="34"/>
    </row>
    <row r="77" spans="1:17" ht="21.75" customHeight="1">
      <c r="A77" s="51"/>
      <c r="B77" s="52" t="s">
        <v>108</v>
      </c>
      <c r="C77" s="52"/>
      <c r="D77" s="31">
        <f aca="true" t="shared" si="20" ref="D77:L77">SUM(D4:D76)</f>
        <v>600930715.9770801</v>
      </c>
      <c r="E77" s="31">
        <f t="shared" si="20"/>
        <v>587713000</v>
      </c>
      <c r="F77" s="31">
        <f t="shared" si="20"/>
        <v>567458000</v>
      </c>
      <c r="G77" s="31">
        <f t="shared" si="20"/>
        <v>2592146</v>
      </c>
      <c r="H77" s="31">
        <f t="shared" si="20"/>
        <v>1573006</v>
      </c>
      <c r="I77" s="31">
        <f t="shared" si="20"/>
        <v>1860000</v>
      </c>
      <c r="J77" s="31">
        <f t="shared" si="20"/>
        <v>3967080</v>
      </c>
      <c r="K77" s="31">
        <f t="shared" si="20"/>
        <v>2654000</v>
      </c>
      <c r="L77" s="31">
        <f t="shared" si="20"/>
        <v>580104232</v>
      </c>
      <c r="M77" s="53" t="s">
        <v>33</v>
      </c>
      <c r="N77" s="31">
        <f>SUM(N4:N76)</f>
        <v>1545000</v>
      </c>
      <c r="O77" s="31">
        <f>SUM(O4:O76)</f>
        <v>581649232</v>
      </c>
      <c r="P77" s="33">
        <f t="shared" si="19"/>
        <v>0.9679139650138711</v>
      </c>
      <c r="Q77" s="34"/>
    </row>
    <row r="78" spans="1:17" ht="20.25" customHeight="1">
      <c r="A78" s="51"/>
      <c r="B78" s="54"/>
      <c r="C78" s="54"/>
      <c r="D78" s="55"/>
      <c r="E78" s="55"/>
      <c r="F78" s="56"/>
      <c r="G78" s="56"/>
      <c r="H78" s="56"/>
      <c r="I78" s="56"/>
      <c r="J78" s="56"/>
      <c r="K78" s="56"/>
      <c r="L78" s="56"/>
      <c r="M78" s="57"/>
      <c r="N78" s="58" t="s">
        <v>109</v>
      </c>
      <c r="O78" s="56">
        <f>+M80</f>
        <v>350768</v>
      </c>
      <c r="P78" s="59"/>
      <c r="Q78" s="57"/>
    </row>
    <row r="79" spans="1:17" ht="18" customHeight="1">
      <c r="A79" s="60"/>
      <c r="B79" s="61"/>
      <c r="C79" s="62"/>
      <c r="D79" s="62"/>
      <c r="E79" s="62"/>
      <c r="F79" s="63"/>
      <c r="G79" s="64"/>
      <c r="H79" s="64"/>
      <c r="I79" s="65"/>
      <c r="J79" s="66" t="s">
        <v>33</v>
      </c>
      <c r="K79" s="66"/>
      <c r="L79" s="67"/>
      <c r="M79" s="68"/>
      <c r="N79" s="69" t="s">
        <v>110</v>
      </c>
      <c r="O79" s="70">
        <f>+O78+O77</f>
        <v>582000000</v>
      </c>
      <c r="P79" s="71"/>
      <c r="Q79" s="72"/>
    </row>
    <row r="80" spans="1:17" ht="12.75">
      <c r="A80" s="73"/>
      <c r="B80" s="74"/>
      <c r="C80" s="75"/>
      <c r="D80" s="75"/>
      <c r="E80" s="75"/>
      <c r="F80" s="76"/>
      <c r="G80" s="56"/>
      <c r="H80" s="56"/>
      <c r="I80" s="77"/>
      <c r="J80" s="56"/>
      <c r="K80" s="58"/>
      <c r="M80" s="79">
        <f>I81-O77</f>
        <v>350768</v>
      </c>
      <c r="N80" s="58"/>
      <c r="O80" s="58"/>
      <c r="P80" s="72"/>
      <c r="Q80" s="72"/>
    </row>
    <row r="81" spans="1:17" ht="14.25">
      <c r="A81" s="73"/>
      <c r="B81" s="80"/>
      <c r="C81" s="80"/>
      <c r="D81" s="80"/>
      <c r="E81" s="80"/>
      <c r="F81" s="80"/>
      <c r="G81" s="56"/>
      <c r="H81" s="56"/>
      <c r="I81" s="81">
        <v>582000000</v>
      </c>
      <c r="J81" s="81" t="s">
        <v>33</v>
      </c>
      <c r="K81" s="56"/>
      <c r="L81" s="56"/>
      <c r="M81" s="72"/>
      <c r="N81" s="56"/>
      <c r="O81" s="56"/>
      <c r="P81" s="72"/>
      <c r="Q81" s="72"/>
    </row>
    <row r="82" spans="1:2" ht="12.75">
      <c r="A82" s="82"/>
      <c r="B82" s="83"/>
    </row>
    <row r="83" spans="1:10" ht="12.75">
      <c r="A83" s="82"/>
      <c r="B83" s="83"/>
      <c r="J83" s="78" t="s">
        <v>33</v>
      </c>
    </row>
    <row r="84" spans="1:2" ht="12.75">
      <c r="A84" s="82"/>
      <c r="B84" s="83"/>
    </row>
    <row r="85" spans="1:2" ht="12.75">
      <c r="A85" s="82"/>
      <c r="B85" s="83"/>
    </row>
    <row r="86" spans="1:2" ht="12.75">
      <c r="A86" s="82"/>
      <c r="B86" s="83"/>
    </row>
    <row r="87" ht="12.75">
      <c r="B87" s="83"/>
    </row>
    <row r="88" ht="12.75">
      <c r="B88" s="35"/>
    </row>
    <row r="89" ht="12.75">
      <c r="B89" s="35"/>
    </row>
    <row r="93" spans="1:229" s="35" customFormat="1" ht="12.75">
      <c r="A93" s="86"/>
      <c r="HQ93" s="24"/>
      <c r="HR93" s="24"/>
      <c r="HS93" s="24"/>
      <c r="HT93" s="24"/>
      <c r="HU93" s="24"/>
    </row>
    <row r="94" ht="12.75">
      <c r="B94" s="87"/>
    </row>
    <row r="95" ht="12.75">
      <c r="B95" s="87"/>
    </row>
    <row r="97" ht="12.75">
      <c r="B97" s="35"/>
    </row>
  </sheetData>
  <mergeCells count="1">
    <mergeCell ref="A1:P1"/>
  </mergeCells>
  <printOptions gridLines="1" horizontalCentered="1"/>
  <pageMargins left="0.1968503937007874" right="0" top="1.0236220472440944" bottom="0.3937007874015748" header="0.3937007874015748" footer="0.1968503937007874"/>
  <pageSetup fitToHeight="2" horizontalDpi="360" verticalDpi="360" orientation="landscape" paperSize="9" scale="60" r:id="rId1"/>
  <headerFooter alignWithMargins="0">
    <oddHeader>&amp;R&amp;20Allegato n. 1</oddHeader>
    <oddFooter>&amp;R&amp;P di &amp;N</oddFooter>
  </headerFooter>
  <rowBreaks count="1" manualBreakCount="1"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Fravo Ghidelli Giancarlo</dc:creator>
  <cp:keywords/>
  <dc:description/>
  <cp:lastModifiedBy> Fravo Ghidelli Giancarlo</cp:lastModifiedBy>
  <dcterms:created xsi:type="dcterms:W3CDTF">2011-12-20T15:46:21Z</dcterms:created>
  <dcterms:modified xsi:type="dcterms:W3CDTF">2011-12-20T15:46:53Z</dcterms:modified>
  <cp:category/>
  <cp:version/>
  <cp:contentType/>
  <cp:contentStatus/>
</cp:coreProperties>
</file>